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0BE2BFAB-8FFD-4CB5-9D6F-262D905E1AEA}" xr6:coauthVersionLast="47" xr6:coauthVersionMax="47" xr10:uidLastSave="{00000000-0000-0000-0000-000000000000}"/>
  <bookViews>
    <workbookView xWindow="-110" yWindow="-110" windowWidth="19420" windowHeight="10300" xr2:uid="{5DD15CB3-FF3C-4859-98BE-6F1039AB7D8D}"/>
  </bookViews>
  <sheets>
    <sheet name="Title" sheetId="9" r:id="rId1"/>
    <sheet name="Dem 1" sheetId="1" r:id="rId2"/>
    <sheet name="Dem 2" sheetId="2" r:id="rId3"/>
    <sheet name="Tool 1" sheetId="7" r:id="rId4"/>
    <sheet name="Tool 2" sheetId="8" r:id="rId5"/>
  </sheets>
  <externalReferences>
    <externalReference r:id="rId6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 a="1"/>
  <c r="C11" i="8" s="1"/>
  <c r="A4" i="8" a="1"/>
  <c r="A4" i="8" s="1"/>
  <c r="B11" i="7" a="1"/>
  <c r="B11" i="7" s="1"/>
  <c r="A4" i="7" a="1"/>
  <c r="C5" i="7" s="1"/>
  <c r="W6" i="2"/>
  <c r="T4" i="2" a="1"/>
  <c r="T10" i="2" s="1"/>
  <c r="S4" i="2" a="1"/>
  <c r="S13" i="2" s="1"/>
  <c r="V3" i="2" a="1"/>
  <c r="W4" i="2" s="1"/>
  <c r="M20" i="1" a="1"/>
  <c r="S30" i="1" s="1"/>
  <c r="H16" i="1"/>
  <c r="E16" i="1" a="1"/>
  <c r="F17" i="1" s="1"/>
  <c r="H13" i="1"/>
  <c r="H12" i="1"/>
  <c r="H11" i="1"/>
  <c r="AF10" i="1" a="1"/>
  <c r="AF18" i="1" s="1"/>
  <c r="H10" i="1"/>
  <c r="H9" i="1"/>
  <c r="H8" i="1"/>
  <c r="V7" i="1"/>
  <c r="H7" i="1"/>
  <c r="V6" i="1"/>
  <c r="H6" i="1"/>
  <c r="H5" i="1"/>
  <c r="D4" i="8"/>
  <c r="D4" i="7"/>
  <c r="D5" i="7" s="1"/>
  <c r="D5" i="8"/>
  <c r="M13" i="2"/>
  <c r="L13" i="2"/>
  <c r="I13" i="2"/>
  <c r="H13" i="2"/>
  <c r="M12" i="2"/>
  <c r="L12" i="2"/>
  <c r="I12" i="2"/>
  <c r="H12" i="2"/>
  <c r="M11" i="2"/>
  <c r="L11" i="2"/>
  <c r="I11" i="2"/>
  <c r="H11" i="2"/>
  <c r="M10" i="2"/>
  <c r="L10" i="2"/>
  <c r="I10" i="2"/>
  <c r="H10" i="2"/>
  <c r="M9" i="2"/>
  <c r="L9" i="2"/>
  <c r="I9" i="2"/>
  <c r="H9" i="2"/>
  <c r="M8" i="2"/>
  <c r="L8" i="2"/>
  <c r="I8" i="2"/>
  <c r="H8" i="2"/>
  <c r="M7" i="2"/>
  <c r="L7" i="2"/>
  <c r="I7" i="2"/>
  <c r="H7" i="2"/>
  <c r="M6" i="2"/>
  <c r="L6" i="2"/>
  <c r="I6" i="2"/>
  <c r="H6" i="2"/>
  <c r="M5" i="2"/>
  <c r="L5" i="2"/>
  <c r="I5" i="2"/>
  <c r="H5" i="2"/>
  <c r="M4" i="2"/>
  <c r="P7" i="2" s="1"/>
  <c r="L4" i="2"/>
  <c r="P9" i="2" s="1"/>
  <c r="I4" i="2"/>
  <c r="M15" i="2" s="1"/>
  <c r="H4" i="2"/>
  <c r="L15" i="2" s="1"/>
  <c r="P10" i="2" s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15" i="1"/>
  <c r="K15" i="1"/>
  <c r="L14" i="1"/>
  <c r="K14" i="1"/>
  <c r="L13" i="1"/>
  <c r="K13" i="1"/>
  <c r="AE12" i="1"/>
  <c r="AE13" i="1" s="1"/>
  <c r="L12" i="1"/>
  <c r="K12" i="1"/>
  <c r="AE11" i="1"/>
  <c r="L11" i="1"/>
  <c r="K11" i="1"/>
  <c r="F11" i="1"/>
  <c r="L10" i="1"/>
  <c r="K10" i="1"/>
  <c r="F10" i="1"/>
  <c r="L9" i="1"/>
  <c r="K9" i="1"/>
  <c r="F9" i="1"/>
  <c r="L8" i="1"/>
  <c r="K8" i="1"/>
  <c r="F8" i="1"/>
  <c r="L7" i="1"/>
  <c r="K7" i="1"/>
  <c r="F7" i="1"/>
  <c r="F13" i="1" s="1"/>
  <c r="L6" i="1"/>
  <c r="K6" i="1"/>
  <c r="F6" i="1"/>
  <c r="V5" i="1"/>
  <c r="F5" i="1"/>
  <c r="T8" i="2" l="1"/>
  <c r="E16" i="1"/>
  <c r="F16" i="1"/>
  <c r="Q20" i="1"/>
  <c r="Q22" i="1"/>
  <c r="N24" i="1"/>
  <c r="N26" i="1"/>
  <c r="P28" i="1"/>
  <c r="R30" i="1"/>
  <c r="A4" i="7"/>
  <c r="Q21" i="1"/>
  <c r="Q29" i="1"/>
  <c r="O22" i="1"/>
  <c r="M24" i="1"/>
  <c r="O28" i="1"/>
  <c r="E17" i="1"/>
  <c r="R20" i="1"/>
  <c r="R22" i="1"/>
  <c r="Q24" i="1"/>
  <c r="P26" i="1"/>
  <c r="R28" i="1"/>
  <c r="B4" i="7"/>
  <c r="AF16" i="1"/>
  <c r="N21" i="1"/>
  <c r="S22" i="1"/>
  <c r="S24" i="1"/>
  <c r="S26" i="1"/>
  <c r="N29" i="1"/>
  <c r="C4" i="7"/>
  <c r="P23" i="1"/>
  <c r="P20" i="1"/>
  <c r="M26" i="1"/>
  <c r="Q30" i="1"/>
  <c r="P21" i="1"/>
  <c r="M23" i="1"/>
  <c r="M25" i="1"/>
  <c r="N27" i="1"/>
  <c r="P29" i="1"/>
  <c r="A5" i="7"/>
  <c r="N25" i="1"/>
  <c r="M20" i="1"/>
  <c r="R21" i="1"/>
  <c r="R23" i="1"/>
  <c r="O25" i="1"/>
  <c r="Q27" i="1"/>
  <c r="S29" i="1"/>
  <c r="T9" i="2"/>
  <c r="C11" i="7"/>
  <c r="E11" i="7" s="1"/>
  <c r="O27" i="1"/>
  <c r="O20" i="1"/>
  <c r="S21" i="1"/>
  <c r="S23" i="1"/>
  <c r="R25" i="1"/>
  <c r="M28" i="1"/>
  <c r="O30" i="1"/>
  <c r="S12" i="2"/>
  <c r="S6" i="2"/>
  <c r="AF12" i="1"/>
  <c r="S20" i="1"/>
  <c r="M22" i="1"/>
  <c r="N23" i="1"/>
  <c r="O24" i="1"/>
  <c r="P25" i="1"/>
  <c r="Q26" i="1"/>
  <c r="R27" i="1"/>
  <c r="S28" i="1"/>
  <c r="M30" i="1"/>
  <c r="V3" i="2"/>
  <c r="S7" i="2"/>
  <c r="T4" i="2"/>
  <c r="T12" i="2"/>
  <c r="B5" i="7"/>
  <c r="C4" i="8"/>
  <c r="S4" i="2"/>
  <c r="T11" i="2"/>
  <c r="B4" i="8"/>
  <c r="AF13" i="1"/>
  <c r="M21" i="1"/>
  <c r="N22" i="1"/>
  <c r="O23" i="1"/>
  <c r="P24" i="1"/>
  <c r="Q25" i="1"/>
  <c r="R26" i="1"/>
  <c r="S27" i="1"/>
  <c r="M29" i="1"/>
  <c r="N30" i="1"/>
  <c r="W3" i="2"/>
  <c r="S8" i="2"/>
  <c r="T5" i="2"/>
  <c r="T13" i="2"/>
  <c r="A5" i="8"/>
  <c r="S11" i="2"/>
  <c r="AF14" i="1"/>
  <c r="B5" i="8"/>
  <c r="AF11" i="1"/>
  <c r="AF19" i="1"/>
  <c r="V4" i="2"/>
  <c r="S9" i="2"/>
  <c r="T6" i="2"/>
  <c r="AF15" i="1"/>
  <c r="N20" i="1"/>
  <c r="O21" i="1"/>
  <c r="P22" i="1"/>
  <c r="Q23" i="1"/>
  <c r="R24" i="1"/>
  <c r="S25" i="1"/>
  <c r="M27" i="1"/>
  <c r="N28" i="1"/>
  <c r="O29" i="1"/>
  <c r="P30" i="1"/>
  <c r="S10" i="2"/>
  <c r="T7" i="2"/>
  <c r="C5" i="8"/>
  <c r="C10" i="8" s="1"/>
  <c r="AF17" i="1"/>
  <c r="B11" i="8"/>
  <c r="AF10" i="1"/>
  <c r="O26" i="1"/>
  <c r="P27" i="1"/>
  <c r="Q28" i="1"/>
  <c r="R29" i="1"/>
  <c r="S5" i="2"/>
  <c r="C10" i="7"/>
  <c r="V9" i="1"/>
  <c r="F12" i="1"/>
  <c r="AE14" i="1"/>
  <c r="P5" i="2"/>
  <c r="D10" i="7"/>
  <c r="D11" i="7" s="1"/>
  <c r="D10" i="8"/>
  <c r="D11" i="8" s="1"/>
  <c r="P4" i="2"/>
  <c r="P8" i="2" s="1"/>
  <c r="P6" i="2"/>
  <c r="P12" i="2" s="1"/>
  <c r="H11" i="8" l="1"/>
  <c r="P31" i="1"/>
  <c r="Q31" i="1"/>
  <c r="S31" i="1"/>
  <c r="R31" i="1"/>
  <c r="G11" i="8"/>
  <c r="E4" i="8"/>
  <c r="F4" i="8" s="1"/>
  <c r="H11" i="7"/>
  <c r="E11" i="8"/>
  <c r="G11" i="7"/>
  <c r="G4" i="7"/>
  <c r="G5" i="8"/>
  <c r="E5" i="8"/>
  <c r="F5" i="8" s="1"/>
  <c r="B10" i="8"/>
  <c r="H5" i="8"/>
  <c r="H4" i="8"/>
  <c r="P11" i="2"/>
  <c r="G5" i="7"/>
  <c r="E5" i="7"/>
  <c r="F5" i="7" s="1"/>
  <c r="B10" i="7"/>
  <c r="H5" i="7"/>
  <c r="H4" i="7"/>
  <c r="G4" i="8"/>
  <c r="M15" i="1"/>
  <c r="P15" i="1" s="1"/>
  <c r="M13" i="1"/>
  <c r="P13" i="1" s="1"/>
  <c r="M9" i="1"/>
  <c r="P9" i="1" s="1"/>
  <c r="M7" i="1"/>
  <c r="P7" i="1" s="1"/>
  <c r="M8" i="1"/>
  <c r="P8" i="1" s="1"/>
  <c r="M6" i="1"/>
  <c r="P6" i="1" s="1"/>
  <c r="M12" i="1"/>
  <c r="P12" i="1" s="1"/>
  <c r="M10" i="1"/>
  <c r="P10" i="1" s="1"/>
  <c r="M11" i="1"/>
  <c r="P11" i="1" s="1"/>
  <c r="M14" i="1"/>
  <c r="P14" i="1" s="1"/>
  <c r="F11" i="8"/>
  <c r="F11" i="7"/>
  <c r="AE15" i="1"/>
  <c r="E4" i="7"/>
  <c r="F4" i="7" s="1"/>
  <c r="O9" i="1" l="1"/>
  <c r="R9" i="1" s="1"/>
  <c r="N9" i="1"/>
  <c r="Q9" i="1" s="1"/>
  <c r="S9" i="1" s="1"/>
  <c r="H10" i="7"/>
  <c r="G10" i="7"/>
  <c r="E10" i="7"/>
  <c r="F10" i="7" s="1"/>
  <c r="O7" i="1"/>
  <c r="R7" i="1" s="1"/>
  <c r="N7" i="1"/>
  <c r="Q7" i="1" s="1"/>
  <c r="S7" i="1" s="1"/>
  <c r="O14" i="1"/>
  <c r="R14" i="1" s="1"/>
  <c r="S14" i="1" s="1"/>
  <c r="N14" i="1"/>
  <c r="Q14" i="1" s="1"/>
  <c r="O13" i="1"/>
  <c r="R13" i="1" s="1"/>
  <c r="N13" i="1"/>
  <c r="Q13" i="1" s="1"/>
  <c r="S13" i="1" s="1"/>
  <c r="O11" i="1"/>
  <c r="R11" i="1" s="1"/>
  <c r="N11" i="1"/>
  <c r="Q11" i="1" s="1"/>
  <c r="S11" i="1" s="1"/>
  <c r="S15" i="1"/>
  <c r="O15" i="1"/>
  <c r="R15" i="1" s="1"/>
  <c r="N15" i="1"/>
  <c r="Q15" i="1" s="1"/>
  <c r="AE16" i="1"/>
  <c r="O10" i="1"/>
  <c r="R10" i="1" s="1"/>
  <c r="N10" i="1"/>
  <c r="Q10" i="1" s="1"/>
  <c r="S10" i="1" s="1"/>
  <c r="O12" i="1"/>
  <c r="R12" i="1" s="1"/>
  <c r="N12" i="1"/>
  <c r="Q12" i="1" s="1"/>
  <c r="S12" i="1" s="1"/>
  <c r="P16" i="1"/>
  <c r="O6" i="1"/>
  <c r="R6" i="1" s="1"/>
  <c r="S6" i="1" s="1"/>
  <c r="N6" i="1"/>
  <c r="Q6" i="1" s="1"/>
  <c r="S8" i="1"/>
  <c r="N8" i="1"/>
  <c r="Q8" i="1" s="1"/>
  <c r="O8" i="1"/>
  <c r="R8" i="1" s="1"/>
  <c r="H10" i="8"/>
  <c r="G10" i="8"/>
  <c r="E10" i="8"/>
  <c r="F10" i="8" s="1"/>
  <c r="AF7" i="1" l="1"/>
  <c r="AF5" i="1"/>
  <c r="AG5" i="1" s="1"/>
  <c r="S16" i="1"/>
  <c r="AF6" i="1"/>
  <c r="AE17" i="1"/>
  <c r="AG16" i="1"/>
  <c r="Q16" i="1"/>
  <c r="R16" i="1"/>
  <c r="AH15" i="1" l="1"/>
  <c r="AH14" i="1"/>
  <c r="AH18" i="1"/>
  <c r="AH13" i="1"/>
  <c r="AH10" i="1"/>
  <c r="AH12" i="1"/>
  <c r="AH11" i="1"/>
  <c r="AH19" i="1"/>
  <c r="AH16" i="1"/>
  <c r="AH17" i="1"/>
  <c r="AG17" i="1"/>
  <c r="AE18" i="1"/>
  <c r="AG10" i="1"/>
  <c r="AG11" i="1"/>
  <c r="AG12" i="1"/>
  <c r="AG13" i="1"/>
  <c r="AG14" i="1"/>
  <c r="AG15" i="1"/>
  <c r="AE19" i="1" l="1"/>
  <c r="AG19" i="1" s="1"/>
  <c r="AG18" i="1"/>
</calcChain>
</file>

<file path=xl/sharedStrings.xml><?xml version="1.0" encoding="utf-8"?>
<sst xmlns="http://schemas.openxmlformats.org/spreadsheetml/2006/main" count="117" uniqueCount="61">
  <si>
    <t>Deming Regression - Known Variances</t>
  </si>
  <si>
    <t>Subject</t>
  </si>
  <si>
    <t>x</t>
  </si>
  <si>
    <t>y</t>
  </si>
  <si>
    <t>Regression coefficients</t>
  </si>
  <si>
    <t>Residuals Report</t>
  </si>
  <si>
    <t>Shapiro-Wilk Test</t>
  </si>
  <si>
    <t>QQ Plot - opt res</t>
  </si>
  <si>
    <r>
      <t>x</t>
    </r>
    <r>
      <rPr>
        <sz val="11"/>
        <color theme="1"/>
        <rFont val="Calibri"/>
        <family val="2"/>
      </rPr>
      <t>̅</t>
    </r>
  </si>
  <si>
    <t>pred y</t>
  </si>
  <si>
    <t>x-hat</t>
  </si>
  <si>
    <t>y-hat</t>
  </si>
  <si>
    <t>raw res</t>
  </si>
  <si>
    <t>x-res</t>
  </si>
  <si>
    <t>y-res</t>
  </si>
  <si>
    <t>opt res</t>
  </si>
  <si>
    <t>Count</t>
  </si>
  <si>
    <r>
      <t>y</t>
    </r>
    <r>
      <rPr>
        <sz val="11"/>
        <rFont val="Arial Unicode MS"/>
        <family val="2"/>
      </rPr>
      <t>̅</t>
    </r>
  </si>
  <si>
    <t>W</t>
  </si>
  <si>
    <t>Mean</t>
  </si>
  <si>
    <t>u</t>
  </si>
  <si>
    <t>p-value</t>
  </si>
  <si>
    <t>Std Dev</t>
  </si>
  <si>
    <t>v</t>
  </si>
  <si>
    <t>alpha</t>
  </si>
  <si>
    <t>r</t>
  </si>
  <si>
    <t>normal</t>
  </si>
  <si>
    <t>Interval</t>
  </si>
  <si>
    <t>Data</t>
  </si>
  <si>
    <t>Std Norm</t>
  </si>
  <si>
    <t>Std Data</t>
  </si>
  <si>
    <t>n</t>
  </si>
  <si>
    <t>λ</t>
  </si>
  <si>
    <t>b0</t>
  </si>
  <si>
    <t>b1</t>
  </si>
  <si>
    <t>var</t>
  </si>
  <si>
    <t>Real Statistics Function</t>
  </si>
  <si>
    <t>Deming Regression - Unknown variances</t>
  </si>
  <si>
    <t>Deviations</t>
  </si>
  <si>
    <t>Regression coeff</t>
  </si>
  <si>
    <t>x1</t>
  </si>
  <si>
    <t>x2</t>
  </si>
  <si>
    <t>x3</t>
  </si>
  <si>
    <t>y1</t>
  </si>
  <si>
    <t>y2</t>
  </si>
  <si>
    <t>coeff</t>
  </si>
  <si>
    <t>df</t>
  </si>
  <si>
    <t>t stat</t>
  </si>
  <si>
    <t>lower</t>
  </si>
  <si>
    <t>upper</t>
  </si>
  <si>
    <t>Deming Regression</t>
  </si>
  <si>
    <t>std err</t>
  </si>
  <si>
    <t>Hypothesis Testing</t>
  </si>
  <si>
    <t>param</t>
  </si>
  <si>
    <t>test</t>
  </si>
  <si>
    <t>slope = 1</t>
  </si>
  <si>
    <t>identity</t>
  </si>
  <si>
    <t>Real Statistics Using Excel</t>
  </si>
  <si>
    <t>Updated</t>
  </si>
  <si>
    <t>Copyright © 2013 - 2023 Charles Zaiontz</t>
  </si>
  <si>
    <t>Deming Regression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</si>
</sst>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rial Unicode MS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2" xfId="0" applyBorder="1"/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2" fillId="0" borderId="0" xfId="0" applyFont="1"/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3" xfId="0" applyNumberForma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15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QQ Plot - Optimized Residuals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name>Linear (Series1)</c:name>
            <c:trendlineType val="linear"/>
            <c:dispRSqr val="0"/>
            <c:dispEq val="0"/>
          </c:trendline>
          <c:xVal>
            <c:numRef>
              <c:f>'Dem 1'!$AF$10:$AF$19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'Dem 1'!$AG$10:$AG$19</c:f>
              <c:numCache>
                <c:formatCode>General</c:formatCode>
                <c:ptCount val="10"/>
                <c:pt idx="0">
                  <c:v>-1.6448536269514726</c:v>
                </c:pt>
                <c:pt idx="1">
                  <c:v>-1.0364333894937898</c:v>
                </c:pt>
                <c:pt idx="2">
                  <c:v>-0.67448975019608193</c:v>
                </c:pt>
                <c:pt idx="3">
                  <c:v>-0.38532046640756784</c:v>
                </c:pt>
                <c:pt idx="4">
                  <c:v>-0.12566134685507402</c:v>
                </c:pt>
                <c:pt idx="5">
                  <c:v>0.12566134685507416</c:v>
                </c:pt>
                <c:pt idx="6">
                  <c:v>0.38532046640756784</c:v>
                </c:pt>
                <c:pt idx="7">
                  <c:v>0.67448975019608193</c:v>
                </c:pt>
                <c:pt idx="8">
                  <c:v>1.0364333894937898</c:v>
                </c:pt>
                <c:pt idx="9">
                  <c:v>1.6448536269514715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0C-4F96-8FDC-BBF350FDA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371752"/>
        <c:axId val="475378024"/>
      </c:scatterChart>
      <c:valAx>
        <c:axId val="475371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378024"/>
        <c:crosses val="autoZero"/>
        <c:crossBetween val="midCat"/>
      </c:valAx>
      <c:valAx>
        <c:axId val="475378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 Normal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5371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133350</xdr:colOff>
      <xdr:row>1</xdr:row>
      <xdr:rowOff>33337</xdr:rowOff>
    </xdr:from>
    <xdr:to>
      <xdr:col>29</xdr:col>
      <xdr:colOff>438150</xdr:colOff>
      <xdr:row>15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754CC9-272B-4190-883A-89F5A2B43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9618B-FAD7-41F8-8D25-5CD02BCCCE4B}">
  <sheetPr codeName="Sheet1"/>
  <dimension ref="A1:B6"/>
  <sheetViews>
    <sheetView tabSelected="1" workbookViewId="0">
      <selection activeCell="B4" sqref="B4"/>
    </sheetView>
  </sheetViews>
  <sheetFormatPr defaultRowHeight="14.5"/>
  <cols>
    <col min="2" max="2" width="9.26953125" bestFit="1" customWidth="1"/>
  </cols>
  <sheetData>
    <row r="1" spans="1:2">
      <c r="A1" t="s">
        <v>57</v>
      </c>
    </row>
    <row r="2" spans="1:2">
      <c r="A2" t="s">
        <v>60</v>
      </c>
    </row>
    <row r="4" spans="1:2">
      <c r="A4" t="s">
        <v>58</v>
      </c>
      <c r="B4" s="29">
        <v>45200</v>
      </c>
    </row>
    <row r="6" spans="1:2">
      <c r="A6" s="30" t="s">
        <v>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A083C-91BC-44E0-BDC0-DBE822CE4E3A}">
  <sheetPr codeName="Sheet97"/>
  <dimension ref="A1:AH31"/>
  <sheetViews>
    <sheetView workbookViewId="0"/>
  </sheetViews>
  <sheetFormatPr defaultRowHeight="14.5"/>
  <cols>
    <col min="1" max="3" width="7.81640625" customWidth="1"/>
    <col min="4" max="4" width="7" customWidth="1"/>
    <col min="5" max="5" width="9" customWidth="1"/>
    <col min="7" max="7" width="3.1796875" customWidth="1"/>
    <col min="8" max="8" width="52.54296875" customWidth="1"/>
    <col min="10" max="12" width="7.81640625" customWidth="1"/>
  </cols>
  <sheetData>
    <row r="1" spans="1:34">
      <c r="A1" s="1" t="s">
        <v>0</v>
      </c>
    </row>
    <row r="3" spans="1:34">
      <c r="A3" s="2" t="s">
        <v>1</v>
      </c>
      <c r="B3" s="3" t="s">
        <v>2</v>
      </c>
      <c r="C3" s="3" t="s">
        <v>3</v>
      </c>
      <c r="E3" t="s">
        <v>4</v>
      </c>
      <c r="J3" t="s">
        <v>5</v>
      </c>
      <c r="U3" t="s">
        <v>6</v>
      </c>
      <c r="AE3" t="s">
        <v>7</v>
      </c>
    </row>
    <row r="4" spans="1:34">
      <c r="A4" s="4">
        <v>1</v>
      </c>
      <c r="B4" s="5">
        <v>5.0999999999999996</v>
      </c>
      <c r="C4" s="5">
        <v>5.4</v>
      </c>
    </row>
    <row r="5" spans="1:34">
      <c r="A5" s="4">
        <v>2</v>
      </c>
      <c r="B5" s="5">
        <v>5.6</v>
      </c>
      <c r="C5" s="5">
        <v>5.6</v>
      </c>
      <c r="E5" t="s">
        <v>8</v>
      </c>
      <c r="F5" s="6">
        <f>AVERAGE(B4:B13)</f>
        <v>5.6000000000000005</v>
      </c>
      <c r="H5" t="e">
        <f ca="1">FTEXT(F5)</f>
        <v>#NAME?</v>
      </c>
      <c r="J5" s="2" t="s">
        <v>1</v>
      </c>
      <c r="K5" s="3" t="s">
        <v>2</v>
      </c>
      <c r="L5" s="3" t="s">
        <v>3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  <c r="S5" s="3" t="s">
        <v>15</v>
      </c>
      <c r="T5" s="4"/>
      <c r="U5" s="7"/>
      <c r="V5" s="7" t="str">
        <f>S5</f>
        <v>opt res</v>
      </c>
      <c r="AE5" t="s">
        <v>16</v>
      </c>
      <c r="AF5">
        <f>COUNT(S6:S15)</f>
        <v>10</v>
      </c>
      <c r="AG5">
        <f>2*AF5</f>
        <v>20</v>
      </c>
    </row>
    <row r="6" spans="1:34">
      <c r="A6" s="4">
        <v>3</v>
      </c>
      <c r="B6" s="5">
        <v>6.8</v>
      </c>
      <c r="C6" s="5">
        <v>6.3</v>
      </c>
      <c r="E6" s="8" t="s">
        <v>17</v>
      </c>
      <c r="F6" s="9">
        <f>AVERAGE(C4:C13)</f>
        <v>5.5299999999999994</v>
      </c>
      <c r="H6" t="e">
        <f ca="1">FTEXT(F6)</f>
        <v>#NAME?</v>
      </c>
      <c r="J6" s="4">
        <v>1</v>
      </c>
      <c r="K6" s="5">
        <f>B4</f>
        <v>5.0999999999999996</v>
      </c>
      <c r="L6" s="5">
        <f>C4</f>
        <v>5.4</v>
      </c>
      <c r="M6">
        <f>F$12+K6*F$13</f>
        <v>5.0210000821743401</v>
      </c>
      <c r="N6">
        <f t="shared" ref="N6:N15" si="0">K6+$F$11*$F$13*P6/($F$11*$F$13^2+1)</f>
        <v>5.3686176266229442</v>
      </c>
      <c r="O6">
        <f t="shared" ref="O6:O15" si="1">L6-P6/($F$11*$F$13^2+1)</f>
        <v>5.2944527819295439</v>
      </c>
      <c r="P6">
        <f>L6-M6</f>
        <v>0.37899991782566023</v>
      </c>
      <c r="Q6">
        <f>K6-N6</f>
        <v>-0.26861762662294453</v>
      </c>
      <c r="R6">
        <f>L6-O6</f>
        <v>0.10554721807045642</v>
      </c>
      <c r="S6">
        <f>SIGN(P6)*SQRT(Q6^2+$F$11*R6^2)</f>
        <v>0.31623720122492682</v>
      </c>
      <c r="U6" t="s">
        <v>18</v>
      </c>
      <c r="V6" t="e">
        <f ca="1">SHAPIRO(S6:S15)</f>
        <v>#NAME?</v>
      </c>
      <c r="AE6" t="s">
        <v>19</v>
      </c>
      <c r="AF6">
        <f>AVERAGE(S6:S15)</f>
        <v>1.2878587085651815E-15</v>
      </c>
    </row>
    <row r="7" spans="1:34">
      <c r="A7" s="4">
        <v>4</v>
      </c>
      <c r="B7" s="5">
        <v>5.9</v>
      </c>
      <c r="C7" s="5">
        <v>6.1</v>
      </c>
      <c r="E7" t="s">
        <v>20</v>
      </c>
      <c r="F7" s="9">
        <f>DEVSQ(B4:B13)</f>
        <v>7.919999999999999</v>
      </c>
      <c r="H7" t="e">
        <f ca="1">FTEXT(F7)</f>
        <v>#NAME?</v>
      </c>
      <c r="J7" s="4">
        <v>2</v>
      </c>
      <c r="K7" s="5">
        <f t="shared" ref="K7:L15" si="2">B5</f>
        <v>5.6</v>
      </c>
      <c r="L7" s="5">
        <f t="shared" si="2"/>
        <v>5.6</v>
      </c>
      <c r="M7">
        <f t="shared" ref="M7:M15" si="3">F$12+K7*F$13</f>
        <v>5.5299999999999985</v>
      </c>
      <c r="N7">
        <f t="shared" si="0"/>
        <v>5.6496127650145187</v>
      </c>
      <c r="O7">
        <f t="shared" si="1"/>
        <v>5.5805057866309857</v>
      </c>
      <c r="P7">
        <f t="shared" ref="P7:P15" si="4">L7-M7</f>
        <v>7.0000000000001172E-2</v>
      </c>
      <c r="Q7">
        <f t="shared" ref="Q7:R15" si="5">K7-N7</f>
        <v>-4.9612765014519056E-2</v>
      </c>
      <c r="R7">
        <f t="shared" si="5"/>
        <v>1.9494213369013913E-2</v>
      </c>
      <c r="S7">
        <f t="shared" ref="S7:S15" si="6">SIGN(P7)*SQRT(Q7^2+$F$11*R7^2)</f>
        <v>5.8407939011554652E-2</v>
      </c>
      <c r="U7" t="s">
        <v>21</v>
      </c>
      <c r="V7" t="e">
        <f ca="1">SWTEST(S6:S15)</f>
        <v>#NAME?</v>
      </c>
      <c r="AE7" t="s">
        <v>22</v>
      </c>
      <c r="AF7">
        <f>STDEV(S6:S15)</f>
        <v>0.35621510901495318</v>
      </c>
    </row>
    <row r="8" spans="1:34">
      <c r="A8" s="4">
        <v>5</v>
      </c>
      <c r="B8" s="5">
        <v>4</v>
      </c>
      <c r="C8" s="5">
        <v>4.7</v>
      </c>
      <c r="E8" t="s">
        <v>23</v>
      </c>
      <c r="F8" s="9">
        <f>DEVSQ(C4:C13)</f>
        <v>7.4809999999999999</v>
      </c>
      <c r="H8" t="e">
        <f ca="1">FTEXT(F8)</f>
        <v>#NAME?</v>
      </c>
      <c r="J8" s="4">
        <v>3</v>
      </c>
      <c r="K8" s="5">
        <f t="shared" si="2"/>
        <v>6.8</v>
      </c>
      <c r="L8" s="5">
        <f t="shared" si="2"/>
        <v>6.3</v>
      </c>
      <c r="M8">
        <f t="shared" si="3"/>
        <v>6.7515998027815769</v>
      </c>
      <c r="N8">
        <f t="shared" si="0"/>
        <v>6.4799269300570703</v>
      </c>
      <c r="O8">
        <f t="shared" si="1"/>
        <v>6.4257654701832623</v>
      </c>
      <c r="P8">
        <f t="shared" si="4"/>
        <v>-0.45159980278157708</v>
      </c>
      <c r="Q8">
        <f t="shared" si="5"/>
        <v>0.3200730699429295</v>
      </c>
      <c r="R8">
        <f t="shared" si="5"/>
        <v>-0.12576547018326245</v>
      </c>
      <c r="S8">
        <f t="shared" si="6"/>
        <v>-0.37681448197851175</v>
      </c>
      <c r="U8" t="s">
        <v>24</v>
      </c>
      <c r="V8">
        <v>0.05</v>
      </c>
    </row>
    <row r="9" spans="1:34">
      <c r="A9" s="4">
        <v>6</v>
      </c>
      <c r="B9" s="5">
        <v>5.6</v>
      </c>
      <c r="C9" s="5">
        <v>5.0999999999999996</v>
      </c>
      <c r="E9" t="s">
        <v>25</v>
      </c>
      <c r="F9" s="9">
        <f>SUMPRODUCT(B4:B13-F5,C4:C13-F6)</f>
        <v>6.8999999999999986</v>
      </c>
      <c r="H9" t="e">
        <f ca="1">FTEXT(F9)</f>
        <v>#NAME?</v>
      </c>
      <c r="J9" s="4">
        <v>4</v>
      </c>
      <c r="K9" s="5">
        <f t="shared" si="2"/>
        <v>5.9</v>
      </c>
      <c r="L9" s="5">
        <f t="shared" si="2"/>
        <v>6.1</v>
      </c>
      <c r="M9">
        <f t="shared" si="3"/>
        <v>5.8353999506953933</v>
      </c>
      <c r="N9">
        <f t="shared" si="0"/>
        <v>6.0875362866997049</v>
      </c>
      <c r="O9">
        <f t="shared" si="1"/>
        <v>6.0263118597343501</v>
      </c>
      <c r="P9">
        <f t="shared" si="4"/>
        <v>0.26460004930460634</v>
      </c>
      <c r="Q9">
        <f t="shared" si="5"/>
        <v>-0.18753628669970457</v>
      </c>
      <c r="R9">
        <f t="shared" si="5"/>
        <v>7.3688140265649515E-2</v>
      </c>
      <c r="S9">
        <f t="shared" si="6"/>
        <v>0.22078205060339232</v>
      </c>
      <c r="U9" s="10" t="s">
        <v>26</v>
      </c>
      <c r="V9" s="11" t="e">
        <f ca="1">IF(V7&lt;V8,"no","yes")</f>
        <v>#NAME?</v>
      </c>
      <c r="AE9" t="s">
        <v>27</v>
      </c>
      <c r="AF9" t="s">
        <v>28</v>
      </c>
      <c r="AG9" t="s">
        <v>29</v>
      </c>
      <c r="AH9" t="s">
        <v>30</v>
      </c>
    </row>
    <row r="10" spans="1:34">
      <c r="A10" s="4">
        <v>7</v>
      </c>
      <c r="B10" s="5">
        <v>6.6</v>
      </c>
      <c r="C10" s="5">
        <v>6.6</v>
      </c>
      <c r="E10" t="s">
        <v>31</v>
      </c>
      <c r="F10" s="9">
        <f>COUNT(B4:B13)</f>
        <v>10</v>
      </c>
      <c r="H10" t="e">
        <f ca="1">FTEXT(F10)</f>
        <v>#NAME?</v>
      </c>
      <c r="J10" s="4">
        <v>5</v>
      </c>
      <c r="K10" s="5">
        <f t="shared" si="2"/>
        <v>4</v>
      </c>
      <c r="L10" s="5">
        <f t="shared" si="2"/>
        <v>4.7</v>
      </c>
      <c r="M10">
        <f t="shared" si="3"/>
        <v>3.9012002629578939</v>
      </c>
      <c r="N10">
        <f t="shared" si="0"/>
        <v>4.5661523378218405</v>
      </c>
      <c r="O10">
        <f t="shared" si="1"/>
        <v>4.4775432498141354</v>
      </c>
      <c r="P10">
        <f t="shared" si="4"/>
        <v>0.79879973704210627</v>
      </c>
      <c r="Q10">
        <f t="shared" si="5"/>
        <v>-0.56615233782184049</v>
      </c>
      <c r="R10">
        <f t="shared" si="5"/>
        <v>0.22245675018586475</v>
      </c>
      <c r="S10">
        <f t="shared" si="6"/>
        <v>0.66651780462285926</v>
      </c>
      <c r="AE10">
        <v>1</v>
      </c>
      <c r="AF10" t="e">
        <f t="array" aca="1" ref="AF10:AF19" ca="1">QSORT(S6:S15)</f>
        <v>#NAME?</v>
      </c>
      <c r="AG10">
        <f t="shared" ref="AG10:AG19" si="7">NORMSINV(AE10/AG$5)</f>
        <v>-1.6448536269514726</v>
      </c>
      <c r="AH10" t="e">
        <f t="shared" ref="AH10:AH19" ca="1" si="8">STANDARDIZE(AF10,AF$6,AF$7)</f>
        <v>#NAME?</v>
      </c>
    </row>
    <row r="11" spans="1:34">
      <c r="A11" s="4">
        <v>8</v>
      </c>
      <c r="B11" s="5">
        <v>6.7</v>
      </c>
      <c r="C11" s="5">
        <v>6.8</v>
      </c>
      <c r="E11" s="12" t="s">
        <v>32</v>
      </c>
      <c r="F11" s="13">
        <f>B15/C15</f>
        <v>2.5</v>
      </c>
      <c r="H11" t="e">
        <f ca="1">FTEXT(F11)</f>
        <v>#NAME?</v>
      </c>
      <c r="J11" s="4">
        <v>6</v>
      </c>
      <c r="K11" s="5">
        <f t="shared" si="2"/>
        <v>5.6</v>
      </c>
      <c r="L11" s="5">
        <f t="shared" si="2"/>
        <v>5.0999999999999996</v>
      </c>
      <c r="M11">
        <f t="shared" si="3"/>
        <v>5.5299999999999985</v>
      </c>
      <c r="N11">
        <f t="shared" si="0"/>
        <v>5.2952358720536754</v>
      </c>
      <c r="O11">
        <f t="shared" si="1"/>
        <v>5.2197501678382237</v>
      </c>
      <c r="P11">
        <f t="shared" si="4"/>
        <v>-0.42999999999999883</v>
      </c>
      <c r="Q11">
        <f t="shared" si="5"/>
        <v>0.30476412794632424</v>
      </c>
      <c r="R11">
        <f t="shared" si="5"/>
        <v>-0.11975016783822401</v>
      </c>
      <c r="S11">
        <f t="shared" si="6"/>
        <v>-0.35879162535668324</v>
      </c>
      <c r="AE11">
        <f>AE10+2</f>
        <v>3</v>
      </c>
      <c r="AF11" t="e">
        <f ca="1"/>
        <v>#NAME?</v>
      </c>
      <c r="AG11">
        <f t="shared" si="7"/>
        <v>-1.0364333894937898</v>
      </c>
      <c r="AH11" t="e">
        <f t="shared" ca="1" si="8"/>
        <v>#NAME?</v>
      </c>
    </row>
    <row r="12" spans="1:34">
      <c r="A12" s="4">
        <v>9</v>
      </c>
      <c r="B12" s="5">
        <v>5.2</v>
      </c>
      <c r="C12" s="5">
        <v>4.5999999999999996</v>
      </c>
      <c r="E12" t="s">
        <v>33</v>
      </c>
      <c r="F12" s="9">
        <f>F6-F5*F13</f>
        <v>-0.17079907964736751</v>
      </c>
      <c r="H12" t="e">
        <f ca="1">FTEXT(F12)</f>
        <v>#NAME?</v>
      </c>
      <c r="J12" s="4">
        <v>7</v>
      </c>
      <c r="K12" s="5">
        <f t="shared" si="2"/>
        <v>6.6</v>
      </c>
      <c r="L12" s="5">
        <f t="shared" si="2"/>
        <v>6.6</v>
      </c>
      <c r="M12">
        <f t="shared" si="3"/>
        <v>6.5479998356513134</v>
      </c>
      <c r="N12">
        <f t="shared" si="0"/>
        <v>6.6368553133506811</v>
      </c>
      <c r="O12">
        <f t="shared" si="1"/>
        <v>6.5855185385851849</v>
      </c>
      <c r="P12">
        <f t="shared" si="4"/>
        <v>5.2000164348686262E-2</v>
      </c>
      <c r="Q12">
        <f t="shared" si="5"/>
        <v>-3.6855313350681485E-2</v>
      </c>
      <c r="R12">
        <f t="shared" si="5"/>
        <v>1.4481461414814767E-2</v>
      </c>
      <c r="S12">
        <f t="shared" si="6"/>
        <v>4.3388891826697341E-2</v>
      </c>
      <c r="AE12">
        <f t="shared" ref="AE12:AE19" si="9">AE11+2</f>
        <v>5</v>
      </c>
      <c r="AF12" t="e">
        <f ca="1"/>
        <v>#NAME?</v>
      </c>
      <c r="AG12">
        <f t="shared" si="7"/>
        <v>-0.67448975019608193</v>
      </c>
      <c r="AH12" t="e">
        <f t="shared" ca="1" si="8"/>
        <v>#NAME?</v>
      </c>
    </row>
    <row r="13" spans="1:34">
      <c r="A13" s="14">
        <v>10</v>
      </c>
      <c r="B13" s="15">
        <v>4.5</v>
      </c>
      <c r="C13" s="15">
        <v>4.0999999999999996</v>
      </c>
      <c r="E13" t="s">
        <v>34</v>
      </c>
      <c r="F13" s="16">
        <f>(F11*F8-F7+SQRT((F11*F8-F7)^2+4*F11*F9^2))/(2*F11*F9)</f>
        <v>1.0179998356513154</v>
      </c>
      <c r="H13" t="e">
        <f ca="1">FTEXT(F13)</f>
        <v>#NAME?</v>
      </c>
      <c r="J13" s="4">
        <v>8</v>
      </c>
      <c r="K13" s="5">
        <f t="shared" si="2"/>
        <v>6.7</v>
      </c>
      <c r="L13" s="5">
        <f t="shared" si="2"/>
        <v>6.8</v>
      </c>
      <c r="M13">
        <f t="shared" si="3"/>
        <v>6.6497998192164456</v>
      </c>
      <c r="N13">
        <f t="shared" si="0"/>
        <v>6.8064549467764657</v>
      </c>
      <c r="O13">
        <f t="shared" si="1"/>
        <v>6.7581709375391572</v>
      </c>
      <c r="P13">
        <f t="shared" si="4"/>
        <v>0.15020018078355424</v>
      </c>
      <c r="Q13">
        <f t="shared" si="5"/>
        <v>-0.1064549467764655</v>
      </c>
      <c r="R13">
        <f t="shared" si="5"/>
        <v>4.1829062460842614E-2</v>
      </c>
      <c r="S13">
        <f t="shared" si="6"/>
        <v>0.12532689998185859</v>
      </c>
      <c r="AE13">
        <f t="shared" si="9"/>
        <v>7</v>
      </c>
      <c r="AF13" t="e">
        <f ca="1"/>
        <v>#NAME?</v>
      </c>
      <c r="AG13">
        <f t="shared" si="7"/>
        <v>-0.38532046640756784</v>
      </c>
      <c r="AH13" t="e">
        <f t="shared" ca="1" si="8"/>
        <v>#NAME?</v>
      </c>
    </row>
    <row r="14" spans="1:34">
      <c r="J14" s="4">
        <v>9</v>
      </c>
      <c r="K14" s="5">
        <f t="shared" si="2"/>
        <v>5.2</v>
      </c>
      <c r="L14" s="5">
        <f t="shared" si="2"/>
        <v>4.5999999999999996</v>
      </c>
      <c r="M14">
        <f t="shared" si="3"/>
        <v>5.1228000657394723</v>
      </c>
      <c r="N14">
        <f t="shared" si="0"/>
        <v>4.8294634741270421</v>
      </c>
      <c r="O14">
        <f t="shared" si="1"/>
        <v>4.7455939432979921</v>
      </c>
      <c r="P14">
        <f t="shared" si="4"/>
        <v>-0.52280006573947269</v>
      </c>
      <c r="Q14">
        <f t="shared" si="5"/>
        <v>0.37053652587295804</v>
      </c>
      <c r="R14">
        <f t="shared" si="5"/>
        <v>-0.14559394329799247</v>
      </c>
      <c r="S14">
        <f t="shared" si="6"/>
        <v>-0.43622391935638849</v>
      </c>
      <c r="AE14">
        <f t="shared" si="9"/>
        <v>9</v>
      </c>
      <c r="AF14" t="e">
        <f ca="1"/>
        <v>#NAME?</v>
      </c>
      <c r="AG14">
        <f t="shared" si="7"/>
        <v>-0.12566134685507402</v>
      </c>
      <c r="AH14" t="e">
        <f t="shared" ca="1" si="8"/>
        <v>#NAME?</v>
      </c>
    </row>
    <row r="15" spans="1:34">
      <c r="A15" s="3" t="s">
        <v>35</v>
      </c>
      <c r="B15" s="3">
        <v>0.05</v>
      </c>
      <c r="C15" s="3">
        <v>0.02</v>
      </c>
      <c r="J15" s="14">
        <v>10</v>
      </c>
      <c r="K15" s="15">
        <f t="shared" si="2"/>
        <v>4.5</v>
      </c>
      <c r="L15" s="15">
        <f t="shared" si="2"/>
        <v>4.0999999999999996</v>
      </c>
      <c r="M15" s="10">
        <f t="shared" si="3"/>
        <v>4.4102001807835514</v>
      </c>
      <c r="N15" s="10">
        <f t="shared" si="0"/>
        <v>4.2801444474760659</v>
      </c>
      <c r="O15" s="10">
        <f t="shared" si="1"/>
        <v>4.1863872644471574</v>
      </c>
      <c r="P15" s="10">
        <f t="shared" si="4"/>
        <v>-0.31020018078355172</v>
      </c>
      <c r="Q15" s="10">
        <f t="shared" si="5"/>
        <v>0.21985555252393407</v>
      </c>
      <c r="R15" s="10">
        <f t="shared" si="5"/>
        <v>-8.6387264447157719E-2</v>
      </c>
      <c r="S15" s="10">
        <f t="shared" si="6"/>
        <v>-0.25883076057969279</v>
      </c>
      <c r="AE15">
        <f t="shared" si="9"/>
        <v>11</v>
      </c>
      <c r="AF15" t="e">
        <f ca="1"/>
        <v>#NAME?</v>
      </c>
      <c r="AG15">
        <f t="shared" si="7"/>
        <v>0.12566134685507416</v>
      </c>
      <c r="AH15" t="e">
        <f t="shared" ca="1" si="8"/>
        <v>#NAME?</v>
      </c>
    </row>
    <row r="16" spans="1:34">
      <c r="A16" s="12"/>
      <c r="C16" s="4"/>
      <c r="E16" t="e">
        <f t="array" aca="1" ref="E16:F17" ca="1">DRegCoeff(B4:B13,C4:C13,F11,TRUE)</f>
        <v>#NAME?</v>
      </c>
      <c r="F16" s="6" t="e">
        <f ca="1"/>
        <v>#NAME?</v>
      </c>
      <c r="H16" t="e">
        <f ca="1">FTEXT(F16)</f>
        <v>#NAME?</v>
      </c>
      <c r="P16">
        <f>AVERAGE(P6:P15)</f>
        <v>1.4210854715202005E-15</v>
      </c>
      <c r="Q16">
        <f>AVERAGE(Q6:Q15)</f>
        <v>-9.7699626167013783E-16</v>
      </c>
      <c r="R16">
        <f>AVERAGE(R6:R15)</f>
        <v>5.3290705182007512E-16</v>
      </c>
      <c r="S16">
        <f>AVERAGE(S6:S15)</f>
        <v>1.2878587085651815E-15</v>
      </c>
      <c r="AE16">
        <f t="shared" si="9"/>
        <v>13</v>
      </c>
      <c r="AF16" t="e">
        <f ca="1"/>
        <v>#NAME?</v>
      </c>
      <c r="AG16">
        <f t="shared" si="7"/>
        <v>0.38532046640756784</v>
      </c>
      <c r="AH16" t="e">
        <f t="shared" ca="1" si="8"/>
        <v>#NAME?</v>
      </c>
    </row>
    <row r="17" spans="5:34">
      <c r="E17" t="e">
        <f ca="1"/>
        <v>#NAME?</v>
      </c>
      <c r="F17" s="16" t="e">
        <f ca="1"/>
        <v>#NAME?</v>
      </c>
      <c r="AE17">
        <f t="shared" si="9"/>
        <v>15</v>
      </c>
      <c r="AF17" t="e">
        <f ca="1"/>
        <v>#NAME?</v>
      </c>
      <c r="AG17">
        <f t="shared" si="7"/>
        <v>0.67448975019608193</v>
      </c>
      <c r="AH17" t="e">
        <f t="shared" ca="1" si="8"/>
        <v>#NAME?</v>
      </c>
    </row>
    <row r="18" spans="5:34">
      <c r="J18" t="s">
        <v>36</v>
      </c>
      <c r="AE18">
        <f t="shared" si="9"/>
        <v>17</v>
      </c>
      <c r="AF18" t="e">
        <f ca="1"/>
        <v>#NAME?</v>
      </c>
      <c r="AG18">
        <f t="shared" si="7"/>
        <v>1.0364333894937898</v>
      </c>
      <c r="AH18" t="e">
        <f t="shared" ca="1" si="8"/>
        <v>#NAME?</v>
      </c>
    </row>
    <row r="19" spans="5:34">
      <c r="Q19" s="4"/>
      <c r="R19" s="4"/>
      <c r="S19" s="4"/>
      <c r="T19" s="4"/>
      <c r="AE19">
        <f t="shared" si="9"/>
        <v>19</v>
      </c>
      <c r="AF19" t="e">
        <f ca="1"/>
        <v>#NAME?</v>
      </c>
      <c r="AG19">
        <f t="shared" si="7"/>
        <v>1.6448536269514715</v>
      </c>
      <c r="AH19" t="e">
        <f t="shared" ca="1" si="8"/>
        <v>#NAME?</v>
      </c>
    </row>
    <row r="20" spans="5:34">
      <c r="J20" s="2" t="s">
        <v>1</v>
      </c>
      <c r="K20" s="3" t="s">
        <v>2</v>
      </c>
      <c r="L20" s="3" t="s">
        <v>3</v>
      </c>
      <c r="M20" s="3" t="e">
        <f t="array" aca="1" ref="M20:S30" ca="1">DRegResiduals(K21:K30,L21:L30,F11,TRUE)</f>
        <v>#NAME?</v>
      </c>
      <c r="N20" s="3" t="e">
        <f ca="1"/>
        <v>#NAME?</v>
      </c>
      <c r="O20" s="3" t="e">
        <f ca="1"/>
        <v>#NAME?</v>
      </c>
      <c r="P20" s="3" t="e">
        <f ca="1"/>
        <v>#NAME?</v>
      </c>
      <c r="Q20" s="3" t="e">
        <f ca="1"/>
        <v>#NAME?</v>
      </c>
      <c r="R20" s="3" t="e">
        <f ca="1"/>
        <v>#NAME?</v>
      </c>
      <c r="S20" s="3" t="e">
        <f ca="1"/>
        <v>#NAME?</v>
      </c>
    </row>
    <row r="21" spans="5:34">
      <c r="J21" s="4">
        <v>1</v>
      </c>
      <c r="K21" s="5">
        <f t="shared" ref="K21:L30" si="10">B4</f>
        <v>5.0999999999999996</v>
      </c>
      <c r="L21" s="5">
        <f t="shared" si="10"/>
        <v>5.4</v>
      </c>
      <c r="M21" t="e">
        <f ca="1"/>
        <v>#NAME?</v>
      </c>
      <c r="N21" t="e">
        <f ca="1"/>
        <v>#NAME?</v>
      </c>
      <c r="O21" t="e">
        <f ca="1"/>
        <v>#NAME?</v>
      </c>
      <c r="P21" t="e">
        <f ca="1"/>
        <v>#NAME?</v>
      </c>
      <c r="Q21" t="e">
        <f ca="1"/>
        <v>#NAME?</v>
      </c>
      <c r="R21" t="e">
        <f ca="1"/>
        <v>#NAME?</v>
      </c>
      <c r="S21" t="e">
        <f ca="1"/>
        <v>#NAME?</v>
      </c>
    </row>
    <row r="22" spans="5:34">
      <c r="J22" s="4">
        <v>2</v>
      </c>
      <c r="K22" s="5">
        <f t="shared" si="10"/>
        <v>5.6</v>
      </c>
      <c r="L22" s="5">
        <f t="shared" si="10"/>
        <v>5.6</v>
      </c>
      <c r="M22" t="e">
        <f ca="1"/>
        <v>#NAME?</v>
      </c>
      <c r="N22" t="e">
        <f ca="1"/>
        <v>#NAME?</v>
      </c>
      <c r="O22" t="e">
        <f ca="1"/>
        <v>#NAME?</v>
      </c>
      <c r="P22" t="e">
        <f ca="1"/>
        <v>#NAME?</v>
      </c>
      <c r="Q22" t="e">
        <f ca="1"/>
        <v>#NAME?</v>
      </c>
      <c r="R22" t="e">
        <f ca="1"/>
        <v>#NAME?</v>
      </c>
      <c r="S22" t="e">
        <f ca="1"/>
        <v>#NAME?</v>
      </c>
    </row>
    <row r="23" spans="5:34">
      <c r="J23" s="4">
        <v>3</v>
      </c>
      <c r="K23" s="5">
        <f t="shared" si="10"/>
        <v>6.8</v>
      </c>
      <c r="L23" s="5">
        <f t="shared" si="10"/>
        <v>6.3</v>
      </c>
      <c r="M23" t="e">
        <f ca="1"/>
        <v>#NAME?</v>
      </c>
      <c r="N23" t="e">
        <f ca="1"/>
        <v>#NAME?</v>
      </c>
      <c r="O23" t="e">
        <f ca="1"/>
        <v>#NAME?</v>
      </c>
      <c r="P23" t="e">
        <f ca="1"/>
        <v>#NAME?</v>
      </c>
      <c r="Q23" t="e">
        <f ca="1"/>
        <v>#NAME?</v>
      </c>
      <c r="R23" t="e">
        <f ca="1"/>
        <v>#NAME?</v>
      </c>
      <c r="S23" t="e">
        <f ca="1"/>
        <v>#NAME?</v>
      </c>
    </row>
    <row r="24" spans="5:34">
      <c r="J24" s="4">
        <v>4</v>
      </c>
      <c r="K24" s="5">
        <f t="shared" si="10"/>
        <v>5.9</v>
      </c>
      <c r="L24" s="5">
        <f t="shared" si="10"/>
        <v>6.1</v>
      </c>
      <c r="M24" t="e">
        <f ca="1"/>
        <v>#NAME?</v>
      </c>
      <c r="N24" t="e">
        <f ca="1"/>
        <v>#NAME?</v>
      </c>
      <c r="O24" t="e">
        <f ca="1"/>
        <v>#NAME?</v>
      </c>
      <c r="P24" t="e">
        <f ca="1"/>
        <v>#NAME?</v>
      </c>
      <c r="Q24" t="e">
        <f ca="1"/>
        <v>#NAME?</v>
      </c>
      <c r="R24" t="e">
        <f ca="1"/>
        <v>#NAME?</v>
      </c>
      <c r="S24" t="e">
        <f ca="1"/>
        <v>#NAME?</v>
      </c>
    </row>
    <row r="25" spans="5:34">
      <c r="J25" s="4">
        <v>5</v>
      </c>
      <c r="K25" s="5">
        <f t="shared" si="10"/>
        <v>4</v>
      </c>
      <c r="L25" s="5">
        <f t="shared" si="10"/>
        <v>4.7</v>
      </c>
      <c r="M25" t="e">
        <f ca="1"/>
        <v>#NAME?</v>
      </c>
      <c r="N25" t="e">
        <f ca="1"/>
        <v>#NAME?</v>
      </c>
      <c r="O25" t="e">
        <f ca="1"/>
        <v>#NAME?</v>
      </c>
      <c r="P25" t="e">
        <f ca="1"/>
        <v>#NAME?</v>
      </c>
      <c r="Q25" t="e">
        <f ca="1"/>
        <v>#NAME?</v>
      </c>
      <c r="R25" t="e">
        <f ca="1"/>
        <v>#NAME?</v>
      </c>
      <c r="S25" t="e">
        <f ca="1"/>
        <v>#NAME?</v>
      </c>
    </row>
    <row r="26" spans="5:34">
      <c r="J26" s="4">
        <v>6</v>
      </c>
      <c r="K26" s="5">
        <f t="shared" si="10"/>
        <v>5.6</v>
      </c>
      <c r="L26" s="5">
        <f t="shared" si="10"/>
        <v>5.0999999999999996</v>
      </c>
      <c r="M26" t="e">
        <f ca="1"/>
        <v>#NAME?</v>
      </c>
      <c r="N26" t="e">
        <f ca="1"/>
        <v>#NAME?</v>
      </c>
      <c r="O26" t="e">
        <f ca="1"/>
        <v>#NAME?</v>
      </c>
      <c r="P26" t="e">
        <f ca="1"/>
        <v>#NAME?</v>
      </c>
      <c r="Q26" t="e">
        <f ca="1"/>
        <v>#NAME?</v>
      </c>
      <c r="R26" t="e">
        <f ca="1"/>
        <v>#NAME?</v>
      </c>
      <c r="S26" t="e">
        <f ca="1"/>
        <v>#NAME?</v>
      </c>
    </row>
    <row r="27" spans="5:34">
      <c r="J27" s="4">
        <v>7</v>
      </c>
      <c r="K27" s="5">
        <f t="shared" si="10"/>
        <v>6.6</v>
      </c>
      <c r="L27" s="5">
        <f t="shared" si="10"/>
        <v>6.6</v>
      </c>
      <c r="M27" t="e">
        <f ca="1"/>
        <v>#NAME?</v>
      </c>
      <c r="N27" t="e">
        <f ca="1"/>
        <v>#NAME?</v>
      </c>
      <c r="O27" t="e">
        <f ca="1"/>
        <v>#NAME?</v>
      </c>
      <c r="P27" t="e">
        <f ca="1"/>
        <v>#NAME?</v>
      </c>
      <c r="Q27" t="e">
        <f ca="1"/>
        <v>#NAME?</v>
      </c>
      <c r="R27" t="e">
        <f ca="1"/>
        <v>#NAME?</v>
      </c>
      <c r="S27" t="e">
        <f ca="1"/>
        <v>#NAME?</v>
      </c>
    </row>
    <row r="28" spans="5:34">
      <c r="J28" s="4">
        <v>8</v>
      </c>
      <c r="K28" s="5">
        <f t="shared" si="10"/>
        <v>6.7</v>
      </c>
      <c r="L28" s="5">
        <f t="shared" si="10"/>
        <v>6.8</v>
      </c>
      <c r="M28" t="e">
        <f ca="1"/>
        <v>#NAME?</v>
      </c>
      <c r="N28" t="e">
        <f ca="1"/>
        <v>#NAME?</v>
      </c>
      <c r="O28" t="e">
        <f ca="1"/>
        <v>#NAME?</v>
      </c>
      <c r="P28" t="e">
        <f ca="1"/>
        <v>#NAME?</v>
      </c>
      <c r="Q28" t="e">
        <f ca="1"/>
        <v>#NAME?</v>
      </c>
      <c r="R28" t="e">
        <f ca="1"/>
        <v>#NAME?</v>
      </c>
      <c r="S28" t="e">
        <f ca="1"/>
        <v>#NAME?</v>
      </c>
    </row>
    <row r="29" spans="5:34">
      <c r="J29" s="4">
        <v>9</v>
      </c>
      <c r="K29" s="5">
        <f t="shared" si="10"/>
        <v>5.2</v>
      </c>
      <c r="L29" s="5">
        <f t="shared" si="10"/>
        <v>4.5999999999999996</v>
      </c>
      <c r="M29" t="e">
        <f ca="1"/>
        <v>#NAME?</v>
      </c>
      <c r="N29" t="e">
        <f ca="1"/>
        <v>#NAME?</v>
      </c>
      <c r="O29" t="e">
        <f ca="1"/>
        <v>#NAME?</v>
      </c>
      <c r="P29" t="e">
        <f ca="1"/>
        <v>#NAME?</v>
      </c>
      <c r="Q29" t="e">
        <f ca="1"/>
        <v>#NAME?</v>
      </c>
      <c r="R29" t="e">
        <f ca="1"/>
        <v>#NAME?</v>
      </c>
      <c r="S29" t="e">
        <f ca="1"/>
        <v>#NAME?</v>
      </c>
    </row>
    <row r="30" spans="5:34">
      <c r="J30" s="14">
        <v>10</v>
      </c>
      <c r="K30" s="15">
        <f t="shared" si="10"/>
        <v>4.5</v>
      </c>
      <c r="L30" s="15">
        <f t="shared" si="10"/>
        <v>4.0999999999999996</v>
      </c>
      <c r="M30" s="10" t="e">
        <f ca="1"/>
        <v>#NAME?</v>
      </c>
      <c r="N30" s="10" t="e">
        <f ca="1"/>
        <v>#NAME?</v>
      </c>
      <c r="O30" s="10" t="e">
        <f ca="1"/>
        <v>#NAME?</v>
      </c>
      <c r="P30" s="10" t="e">
        <f ca="1"/>
        <v>#NAME?</v>
      </c>
      <c r="Q30" s="10" t="e">
        <f ca="1"/>
        <v>#NAME?</v>
      </c>
      <c r="R30" s="10" t="e">
        <f ca="1"/>
        <v>#NAME?</v>
      </c>
      <c r="S30" s="10" t="e">
        <f ca="1"/>
        <v>#NAME?</v>
      </c>
    </row>
    <row r="31" spans="5:34">
      <c r="P31" t="e">
        <f ca="1">AVERAGE(P21:P30)</f>
        <v>#NAME?</v>
      </c>
      <c r="Q31" t="e">
        <f ca="1">AVERAGE(Q21:Q30)</f>
        <v>#NAME?</v>
      </c>
      <c r="R31" t="e">
        <f ca="1">AVERAGE(R21:R30)</f>
        <v>#NAME?</v>
      </c>
      <c r="S31" t="e">
        <f ca="1">AVERAGE(S21:S30)</f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C643D-B101-4B9E-A02E-D3E8F3A0C12D}">
  <sheetPr codeName="Sheet89"/>
  <dimension ref="A1:W15"/>
  <sheetViews>
    <sheetView workbookViewId="0"/>
  </sheetViews>
  <sheetFormatPr defaultRowHeight="14.5"/>
  <cols>
    <col min="1" max="6" width="7.26953125" customWidth="1"/>
    <col min="10" max="10" width="3.7265625" customWidth="1"/>
    <col min="11" max="12" width="8" customWidth="1"/>
    <col min="13" max="13" width="7.81640625" customWidth="1"/>
    <col min="14" max="14" width="3.26953125" customWidth="1"/>
    <col min="15" max="15" width="6" customWidth="1"/>
  </cols>
  <sheetData>
    <row r="1" spans="1:23">
      <c r="A1" s="1" t="s">
        <v>37</v>
      </c>
    </row>
    <row r="2" spans="1:23">
      <c r="H2" s="31" t="s">
        <v>38</v>
      </c>
      <c r="I2" s="31"/>
      <c r="O2" s="31" t="s">
        <v>39</v>
      </c>
      <c r="P2" s="31"/>
    </row>
    <row r="3" spans="1:23">
      <c r="A3" s="3" t="s">
        <v>1</v>
      </c>
      <c r="B3" s="17" t="s">
        <v>40</v>
      </c>
      <c r="C3" s="3" t="s">
        <v>41</v>
      </c>
      <c r="D3" s="18" t="s">
        <v>42</v>
      </c>
      <c r="E3" s="17" t="s">
        <v>43</v>
      </c>
      <c r="F3" s="18" t="s">
        <v>44</v>
      </c>
      <c r="H3" s="3" t="s">
        <v>2</v>
      </c>
      <c r="I3" s="3" t="s">
        <v>3</v>
      </c>
      <c r="K3" s="3" t="s">
        <v>1</v>
      </c>
      <c r="L3" s="3" t="s">
        <v>2</v>
      </c>
      <c r="M3" s="3" t="s">
        <v>3</v>
      </c>
      <c r="R3" s="3" t="s">
        <v>1</v>
      </c>
      <c r="S3" s="3" t="s">
        <v>2</v>
      </c>
      <c r="T3" s="3" t="s">
        <v>3</v>
      </c>
      <c r="V3" t="e">
        <f t="array" aca="1" ref="V3:W4" ca="1">DRegCoeff(B4:D13,E4:F13,,TRUE)</f>
        <v>#NAME?</v>
      </c>
      <c r="W3" s="6" t="e">
        <f ca="1"/>
        <v>#NAME?</v>
      </c>
    </row>
    <row r="4" spans="1:23">
      <c r="A4" s="4">
        <v>1</v>
      </c>
      <c r="B4" s="19">
        <v>96</v>
      </c>
      <c r="C4" s="4">
        <v>110</v>
      </c>
      <c r="D4" s="20">
        <v>104</v>
      </c>
      <c r="E4" s="19">
        <v>80</v>
      </c>
      <c r="F4" s="20">
        <v>75</v>
      </c>
      <c r="H4">
        <f>DEVSQ(B4:D4)</f>
        <v>98.666666666666671</v>
      </c>
      <c r="I4">
        <f>DEVSQ(E4:F4)</f>
        <v>12.5</v>
      </c>
      <c r="K4" s="4">
        <v>1</v>
      </c>
      <c r="L4" s="21">
        <f t="shared" ref="L4:L13" si="0">AVERAGE(B4:D4)</f>
        <v>103.33333333333333</v>
      </c>
      <c r="M4" s="21">
        <f t="shared" ref="M4:M13" si="1">AVERAGE(E4:F4)</f>
        <v>77.5</v>
      </c>
      <c r="O4" s="4" t="s">
        <v>8</v>
      </c>
      <c r="P4" s="6">
        <f>AVERAGE(L4:L13)</f>
        <v>243.1</v>
      </c>
      <c r="R4" s="4">
        <v>1</v>
      </c>
      <c r="S4" s="21" t="e">
        <f t="array" aca="1" ref="S4:S13" ca="1">MEANROW(B4:D13)</f>
        <v>#NAME?</v>
      </c>
      <c r="T4" s="21" t="e">
        <f t="array" aca="1" ref="T4:T13" ca="1">MEANROW(E4:F13)</f>
        <v>#NAME?</v>
      </c>
      <c r="V4" t="e">
        <f ca="1"/>
        <v>#NAME?</v>
      </c>
      <c r="W4" s="16" t="e">
        <f ca="1"/>
        <v>#NAME?</v>
      </c>
    </row>
    <row r="5" spans="1:23">
      <c r="A5" s="4">
        <v>2</v>
      </c>
      <c r="B5" s="19">
        <v>124</v>
      </c>
      <c r="C5" s="4">
        <v>130</v>
      </c>
      <c r="D5" s="20">
        <v>132</v>
      </c>
      <c r="E5" s="19">
        <v>89</v>
      </c>
      <c r="F5" s="20">
        <v>80</v>
      </c>
      <c r="H5">
        <f t="shared" ref="H5:H13" si="2">DEVSQ(B5:D5)</f>
        <v>34.666666666666671</v>
      </c>
      <c r="I5">
        <f t="shared" ref="I5:I13" si="3">DEVSQ(E5:F5)</f>
        <v>40.5</v>
      </c>
      <c r="K5" s="4">
        <v>2</v>
      </c>
      <c r="L5" s="21">
        <f t="shared" si="0"/>
        <v>128.66666666666666</v>
      </c>
      <c r="M5" s="21">
        <f t="shared" si="1"/>
        <v>84.5</v>
      </c>
      <c r="O5" s="23" t="s">
        <v>17</v>
      </c>
      <c r="P5" s="9">
        <f>AVERAGE(M4:M13)</f>
        <v>172</v>
      </c>
      <c r="R5" s="4">
        <v>2</v>
      </c>
      <c r="S5" s="21" t="e">
        <f ca="1"/>
        <v>#NAME?</v>
      </c>
      <c r="T5" s="21" t="e">
        <f ca="1"/>
        <v>#NAME?</v>
      </c>
    </row>
    <row r="6" spans="1:23">
      <c r="A6" s="4">
        <v>3</v>
      </c>
      <c r="B6" s="19">
        <v>146</v>
      </c>
      <c r="C6" s="4">
        <v>150</v>
      </c>
      <c r="D6" s="20">
        <v>160</v>
      </c>
      <c r="E6" s="19">
        <v>93</v>
      </c>
      <c r="F6" s="20">
        <v>102</v>
      </c>
      <c r="H6">
        <f t="shared" si="2"/>
        <v>104</v>
      </c>
      <c r="I6">
        <f t="shared" si="3"/>
        <v>40.5</v>
      </c>
      <c r="K6" s="4">
        <v>3</v>
      </c>
      <c r="L6" s="21">
        <f t="shared" si="0"/>
        <v>152</v>
      </c>
      <c r="M6" s="21">
        <f t="shared" si="1"/>
        <v>97.5</v>
      </c>
      <c r="O6" s="4" t="s">
        <v>20</v>
      </c>
      <c r="P6" s="9">
        <f>DEVSQ(L4:L13)</f>
        <v>94254.233333333337</v>
      </c>
      <c r="R6" s="4">
        <v>3</v>
      </c>
      <c r="S6" s="21" t="e">
        <f ca="1"/>
        <v>#NAME?</v>
      </c>
      <c r="T6" s="21" t="e">
        <f ca="1"/>
        <v>#NAME?</v>
      </c>
      <c r="V6" s="24" t="s">
        <v>32</v>
      </c>
      <c r="W6" s="25" t="e">
        <f ca="1">DRegLambda(B4:D13,E4:F13)</f>
        <v>#NAME?</v>
      </c>
    </row>
    <row r="7" spans="1:23">
      <c r="A7" s="4">
        <v>4</v>
      </c>
      <c r="B7" s="19">
        <v>184</v>
      </c>
      <c r="C7" s="4">
        <v>188</v>
      </c>
      <c r="D7" s="20">
        <v>192</v>
      </c>
      <c r="E7" s="19">
        <v>111</v>
      </c>
      <c r="F7" s="20">
        <v>111</v>
      </c>
      <c r="H7">
        <f t="shared" si="2"/>
        <v>32</v>
      </c>
      <c r="I7">
        <f t="shared" si="3"/>
        <v>0</v>
      </c>
      <c r="K7" s="4">
        <v>4</v>
      </c>
      <c r="L7" s="21">
        <f t="shared" si="0"/>
        <v>188</v>
      </c>
      <c r="M7" s="21">
        <f t="shared" si="1"/>
        <v>111</v>
      </c>
      <c r="O7" s="4" t="s">
        <v>23</v>
      </c>
      <c r="P7" s="9">
        <f>DEVSQ(M4:M13)</f>
        <v>56154.5</v>
      </c>
      <c r="R7" s="4">
        <v>4</v>
      </c>
      <c r="S7" s="21" t="e">
        <f ca="1"/>
        <v>#NAME?</v>
      </c>
      <c r="T7" s="21" t="e">
        <f ca="1"/>
        <v>#NAME?</v>
      </c>
    </row>
    <row r="8" spans="1:23">
      <c r="A8" s="4">
        <v>5</v>
      </c>
      <c r="B8" s="19">
        <v>224</v>
      </c>
      <c r="C8" s="4">
        <v>230</v>
      </c>
      <c r="D8" s="20">
        <v>220</v>
      </c>
      <c r="E8" s="19">
        <v>163</v>
      </c>
      <c r="F8" s="20">
        <v>170</v>
      </c>
      <c r="H8">
        <f t="shared" si="2"/>
        <v>50.666666666666671</v>
      </c>
      <c r="I8">
        <f t="shared" si="3"/>
        <v>24.5</v>
      </c>
      <c r="K8" s="4">
        <v>5</v>
      </c>
      <c r="L8" s="21">
        <f t="shared" si="0"/>
        <v>224.66666666666666</v>
      </c>
      <c r="M8" s="21">
        <f t="shared" si="1"/>
        <v>166.5</v>
      </c>
      <c r="O8" s="4" t="s">
        <v>25</v>
      </c>
      <c r="P8" s="9">
        <f>SUMPRODUCT(L4:L13-P4,M4:M13-P5)</f>
        <v>72170</v>
      </c>
      <c r="R8" s="4">
        <v>5</v>
      </c>
      <c r="S8" s="21" t="e">
        <f ca="1"/>
        <v>#NAME?</v>
      </c>
      <c r="T8" s="21" t="e">
        <f ca="1"/>
        <v>#NAME?</v>
      </c>
    </row>
    <row r="9" spans="1:23">
      <c r="A9" s="4">
        <v>6</v>
      </c>
      <c r="B9" s="19">
        <v>256</v>
      </c>
      <c r="C9" s="4">
        <v>252</v>
      </c>
      <c r="D9" s="20">
        <v>246</v>
      </c>
      <c r="E9" s="19">
        <v>188</v>
      </c>
      <c r="F9" s="20">
        <v>177</v>
      </c>
      <c r="H9">
        <f t="shared" si="2"/>
        <v>50.666666666666671</v>
      </c>
      <c r="I9">
        <f t="shared" si="3"/>
        <v>60.5</v>
      </c>
      <c r="K9" s="4">
        <v>6</v>
      </c>
      <c r="L9" s="21">
        <f t="shared" si="0"/>
        <v>251.33333333333334</v>
      </c>
      <c r="M9" s="21">
        <f t="shared" si="1"/>
        <v>182.5</v>
      </c>
      <c r="O9" s="4" t="s">
        <v>31</v>
      </c>
      <c r="P9" s="9">
        <f>COUNT(L4:L13)</f>
        <v>10</v>
      </c>
      <c r="R9" s="4">
        <v>6</v>
      </c>
      <c r="S9" s="21" t="e">
        <f ca="1"/>
        <v>#NAME?</v>
      </c>
      <c r="T9" s="21" t="e">
        <f ca="1"/>
        <v>#NAME?</v>
      </c>
    </row>
    <row r="10" spans="1:23">
      <c r="A10" s="4">
        <v>7</v>
      </c>
      <c r="B10" s="19">
        <v>284</v>
      </c>
      <c r="C10" s="4">
        <v>284</v>
      </c>
      <c r="D10" s="20">
        <v>288</v>
      </c>
      <c r="E10" s="19">
        <v>201</v>
      </c>
      <c r="F10" s="20">
        <v>196</v>
      </c>
      <c r="H10">
        <f t="shared" si="2"/>
        <v>10.666666666666666</v>
      </c>
      <c r="I10">
        <f t="shared" si="3"/>
        <v>12.5</v>
      </c>
      <c r="K10" s="4">
        <v>7</v>
      </c>
      <c r="L10" s="21">
        <f t="shared" si="0"/>
        <v>285.33333333333331</v>
      </c>
      <c r="M10" s="21">
        <f t="shared" si="1"/>
        <v>198.5</v>
      </c>
      <c r="O10" s="24" t="s">
        <v>32</v>
      </c>
      <c r="P10" s="13">
        <f>L15/M15</f>
        <v>2.4111675126903558</v>
      </c>
      <c r="R10" s="4">
        <v>7</v>
      </c>
      <c r="S10" s="21" t="e">
        <f ca="1"/>
        <v>#NAME?</v>
      </c>
      <c r="T10" s="21" t="e">
        <f ca="1"/>
        <v>#NAME?</v>
      </c>
    </row>
    <row r="11" spans="1:23">
      <c r="A11" s="4">
        <v>8</v>
      </c>
      <c r="B11" s="19">
        <v>332</v>
      </c>
      <c r="C11" s="4">
        <v>326</v>
      </c>
      <c r="D11" s="20">
        <v>346</v>
      </c>
      <c r="E11" s="19">
        <v>232</v>
      </c>
      <c r="F11" s="20">
        <v>234</v>
      </c>
      <c r="H11">
        <f t="shared" si="2"/>
        <v>210.66666666666666</v>
      </c>
      <c r="I11">
        <f t="shared" si="3"/>
        <v>2</v>
      </c>
      <c r="K11" s="4">
        <v>8</v>
      </c>
      <c r="L11" s="21">
        <f t="shared" si="0"/>
        <v>334.66666666666669</v>
      </c>
      <c r="M11" s="21">
        <f t="shared" si="1"/>
        <v>233</v>
      </c>
      <c r="O11" s="4" t="s">
        <v>33</v>
      </c>
      <c r="P11" s="9">
        <f>P5-P4*P12</f>
        <v>-15.911682801075273</v>
      </c>
      <c r="R11" s="4">
        <v>8</v>
      </c>
      <c r="S11" s="21" t="e">
        <f ca="1"/>
        <v>#NAME?</v>
      </c>
      <c r="T11" s="21" t="e">
        <f ca="1"/>
        <v>#NAME?</v>
      </c>
    </row>
    <row r="12" spans="1:23">
      <c r="A12" s="4">
        <v>9</v>
      </c>
      <c r="B12" s="19">
        <v>352</v>
      </c>
      <c r="C12" s="4">
        <v>344</v>
      </c>
      <c r="D12" s="20">
        <v>369</v>
      </c>
      <c r="E12" s="19">
        <v>269</v>
      </c>
      <c r="F12" s="20">
        <v>271</v>
      </c>
      <c r="H12">
        <f t="shared" si="2"/>
        <v>326</v>
      </c>
      <c r="I12">
        <f t="shared" si="3"/>
        <v>2</v>
      </c>
      <c r="K12" s="4">
        <v>9</v>
      </c>
      <c r="L12" s="21">
        <f t="shared" si="0"/>
        <v>355</v>
      </c>
      <c r="M12" s="21">
        <f t="shared" si="1"/>
        <v>270</v>
      </c>
      <c r="O12" s="4" t="s">
        <v>34</v>
      </c>
      <c r="P12" s="16">
        <f>(P10*P7-P6+SQRT((P10*P7-P6)^2+4*P10*P8^2))/(2*P10*P8)</f>
        <v>0.77298100699743022</v>
      </c>
      <c r="R12" s="4">
        <v>9</v>
      </c>
      <c r="S12" s="21" t="e">
        <f ca="1"/>
        <v>#NAME?</v>
      </c>
      <c r="T12" s="21" t="e">
        <f ca="1"/>
        <v>#NAME?</v>
      </c>
    </row>
    <row r="13" spans="1:23">
      <c r="A13" s="14">
        <v>10</v>
      </c>
      <c r="B13" s="26">
        <v>412</v>
      </c>
      <c r="C13" s="14">
        <v>404</v>
      </c>
      <c r="D13" s="27">
        <v>408</v>
      </c>
      <c r="E13" s="26">
        <v>300</v>
      </c>
      <c r="F13" s="27">
        <v>298</v>
      </c>
      <c r="H13" s="10">
        <f t="shared" si="2"/>
        <v>32</v>
      </c>
      <c r="I13" s="10">
        <f t="shared" si="3"/>
        <v>2</v>
      </c>
      <c r="K13" s="14">
        <v>10</v>
      </c>
      <c r="L13" s="22">
        <f t="shared" si="0"/>
        <v>408</v>
      </c>
      <c r="M13" s="22">
        <f t="shared" si="1"/>
        <v>299</v>
      </c>
      <c r="R13" s="14">
        <v>10</v>
      </c>
      <c r="S13" s="22" t="e">
        <f ca="1"/>
        <v>#NAME?</v>
      </c>
      <c r="T13" s="22" t="e">
        <f ca="1"/>
        <v>#NAME?</v>
      </c>
    </row>
    <row r="15" spans="1:23">
      <c r="K15" s="3" t="s">
        <v>35</v>
      </c>
      <c r="L15" s="2">
        <f>SUM(H4:H13)/(COUNT(B4:D13)-A13)</f>
        <v>47.500000000000007</v>
      </c>
      <c r="M15" s="2">
        <f>SUM(I4:I13)/(COUNT(E4:F13)-A13)</f>
        <v>19.7</v>
      </c>
    </row>
  </sheetData>
  <mergeCells count="2">
    <mergeCell ref="H2:I2"/>
    <mergeCell ref="O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25DA4-F3A7-40B1-8959-4D1338AB4F94}">
  <sheetPr codeName="Sheet33"/>
  <dimension ref="A1:H11"/>
  <sheetViews>
    <sheetView workbookViewId="0"/>
  </sheetViews>
  <sheetFormatPr defaultRowHeight="14.5"/>
  <sheetData>
    <row r="1" spans="1:8">
      <c r="A1" t="s">
        <v>50</v>
      </c>
    </row>
    <row r="2" spans="1:8" ht="15" thickBot="1">
      <c r="F2" t="s">
        <v>24</v>
      </c>
      <c r="G2">
        <v>0.05</v>
      </c>
    </row>
    <row r="3" spans="1:8" ht="15" thickTop="1">
      <c r="A3" s="28"/>
      <c r="B3" s="28" t="s">
        <v>45</v>
      </c>
      <c r="C3" s="28" t="s">
        <v>51</v>
      </c>
      <c r="D3" s="28" t="s">
        <v>46</v>
      </c>
      <c r="E3" s="28" t="s">
        <v>47</v>
      </c>
      <c r="F3" s="28" t="s">
        <v>21</v>
      </c>
      <c r="G3" s="28" t="s">
        <v>48</v>
      </c>
      <c r="H3" s="28" t="s">
        <v>49</v>
      </c>
    </row>
    <row r="4" spans="1:8">
      <c r="A4" t="e">
        <f t="array" aca="1" ref="A4:C5" ca="1">DRegCoeff('Dem 1'!B4:B13,'Dem 1'!C4:C13,2.5,TRUE)</f>
        <v>#NAME?</v>
      </c>
      <c r="B4" t="e">
        <f ca="1"/>
        <v>#NAME?</v>
      </c>
      <c r="C4" t="e">
        <f ca="1"/>
        <v>#NAME?</v>
      </c>
      <c r="D4">
        <f>COUNT('Dem 1'!C4:C13)-2</f>
        <v>8</v>
      </c>
      <c r="E4" t="e">
        <f ca="1">B4/C4</f>
        <v>#NAME?</v>
      </c>
      <c r="F4" t="e">
        <f ca="1">_xlfn.T.DIST.2T(ABS(E4),D4)</f>
        <v>#NAME?</v>
      </c>
      <c r="G4" t="e">
        <f ca="1">B4-_xlfn.T.INV.2T(G$2,D4)*C4</f>
        <v>#NAME?</v>
      </c>
      <c r="H4" t="e">
        <f ca="1">B4+_xlfn.T.INV.2T(G$2,D4)*C4</f>
        <v>#NAME?</v>
      </c>
    </row>
    <row r="5" spans="1:8">
      <c r="A5" s="10" t="e">
        <f ca="1"/>
        <v>#NAME?</v>
      </c>
      <c r="B5" s="10" t="e">
        <f ca="1"/>
        <v>#NAME?</v>
      </c>
      <c r="C5" s="10" t="e">
        <f ca="1"/>
        <v>#NAME?</v>
      </c>
      <c r="D5" s="10">
        <f>D4</f>
        <v>8</v>
      </c>
      <c r="E5" s="10" t="e">
        <f ca="1">B5/C5</f>
        <v>#NAME?</v>
      </c>
      <c r="F5" s="10" t="e">
        <f ca="1">_xlfn.T.DIST.2T(ABS(E5),D5)</f>
        <v>#NAME?</v>
      </c>
      <c r="G5" s="10" t="e">
        <f ca="1">B5-_xlfn.T.INV.2T(G$2,D5)*C5</f>
        <v>#NAME?</v>
      </c>
      <c r="H5" s="10" t="e">
        <f ca="1">B5+_xlfn.T.INV.2T(G$2,D5)*C5</f>
        <v>#NAME?</v>
      </c>
    </row>
    <row r="7" spans="1:8">
      <c r="A7" t="s">
        <v>52</v>
      </c>
    </row>
    <row r="8" spans="1:8" ht="15" thickBot="1">
      <c r="F8" t="s">
        <v>24</v>
      </c>
      <c r="G8">
        <v>2.5000000000000001E-2</v>
      </c>
    </row>
    <row r="9" spans="1:8" ht="15" thickTop="1">
      <c r="A9" s="28" t="s">
        <v>54</v>
      </c>
      <c r="B9" s="28" t="s">
        <v>53</v>
      </c>
      <c r="C9" s="28" t="s">
        <v>51</v>
      </c>
      <c r="D9" s="28" t="s">
        <v>46</v>
      </c>
      <c r="E9" s="28" t="s">
        <v>47</v>
      </c>
      <c r="F9" s="28" t="s">
        <v>21</v>
      </c>
      <c r="G9" s="28" t="s">
        <v>48</v>
      </c>
      <c r="H9" s="28" t="s">
        <v>49</v>
      </c>
    </row>
    <row r="10" spans="1:8">
      <c r="A10" t="s">
        <v>55</v>
      </c>
      <c r="B10" t="e">
        <f ca="1">1-B5</f>
        <v>#NAME?</v>
      </c>
      <c r="C10" t="e">
        <f ca="1">C5</f>
        <v>#NAME?</v>
      </c>
      <c r="D10">
        <f>D4</f>
        <v>8</v>
      </c>
      <c r="E10" t="e">
        <f ca="1">B10/C10</f>
        <v>#NAME?</v>
      </c>
      <c r="F10" t="e">
        <f ca="1">_xlfn.T.DIST.2T(ABS(E10),D10)</f>
        <v>#NAME?</v>
      </c>
      <c r="G10" t="e">
        <f ca="1">B10-_xlfn.T.INV.2T(G$8,D10)*C10</f>
        <v>#NAME?</v>
      </c>
      <c r="H10" t="e">
        <f ca="1">B10+_xlfn.T.INV.2T(G$8,D10)*C10</f>
        <v>#NAME?</v>
      </c>
    </row>
    <row r="11" spans="1:8">
      <c r="A11" s="10" t="s">
        <v>56</v>
      </c>
      <c r="B11" s="10" t="e">
        <f t="array" aca="1" ref="B11:C11" ca="1">TRANSPOSE(DRegIdentity('Dem 1'!B4:B13,'Dem 1'!C4:C13,2.5))</f>
        <v>#NAME?</v>
      </c>
      <c r="C11" s="10" t="e">
        <f ca="1"/>
        <v>#NAME?</v>
      </c>
      <c r="D11" s="10">
        <f>D10</f>
        <v>8</v>
      </c>
      <c r="E11" s="10" t="e">
        <f ca="1">B11/C11</f>
        <v>#NAME?</v>
      </c>
      <c r="F11" s="10" t="e">
        <f ca="1">_xlfn.T.DIST.2T(ABS(E11),D11)</f>
        <v>#NAME?</v>
      </c>
      <c r="G11" s="10" t="e">
        <f ca="1">B11-_xlfn.T.INV.2T(G$8,D11)*C11</f>
        <v>#NAME?</v>
      </c>
      <c r="H11" s="10" t="e">
        <f ca="1">B11+_xlfn.T.INV.2T(G$8,D11)*C11</f>
        <v>#NAME?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C3D26-3865-4D36-9FDF-A38703573161}">
  <sheetPr codeName="Sheet34"/>
  <dimension ref="A1:H11"/>
  <sheetViews>
    <sheetView workbookViewId="0"/>
  </sheetViews>
  <sheetFormatPr defaultRowHeight="14.5"/>
  <sheetData>
    <row r="1" spans="1:8">
      <c r="A1" t="s">
        <v>50</v>
      </c>
    </row>
    <row r="2" spans="1:8" ht="15" thickBot="1">
      <c r="F2" t="s">
        <v>24</v>
      </c>
      <c r="G2">
        <v>0.05</v>
      </c>
    </row>
    <row r="3" spans="1:8" ht="15" thickTop="1">
      <c r="A3" s="28"/>
      <c r="B3" s="28" t="s">
        <v>45</v>
      </c>
      <c r="C3" s="28" t="s">
        <v>51</v>
      </c>
      <c r="D3" s="28" t="s">
        <v>46</v>
      </c>
      <c r="E3" s="28" t="s">
        <v>47</v>
      </c>
      <c r="F3" s="28" t="s">
        <v>21</v>
      </c>
      <c r="G3" s="28" t="s">
        <v>48</v>
      </c>
      <c r="H3" s="28" t="s">
        <v>49</v>
      </c>
    </row>
    <row r="4" spans="1:8">
      <c r="A4" t="e">
        <f t="array" aca="1" ref="A4:C5" ca="1">DRegCoeff('Dem 2'!B4:D13,'Dem 2'!E4:F13,,TRUE)</f>
        <v>#NAME?</v>
      </c>
      <c r="B4" t="e">
        <f ca="1"/>
        <v>#NAME?</v>
      </c>
      <c r="C4" t="e">
        <f ca="1"/>
        <v>#NAME?</v>
      </c>
      <c r="D4">
        <f>COUNT('Dem 2'!E4:F13)-2</f>
        <v>18</v>
      </c>
      <c r="E4" t="e">
        <f ca="1">B4/C4</f>
        <v>#NAME?</v>
      </c>
      <c r="F4" t="e">
        <f ca="1">_xlfn.T.DIST.2T(ABS(E4),D4)</f>
        <v>#NAME?</v>
      </c>
      <c r="G4" t="e">
        <f ca="1">B4-_xlfn.T.INV.2T(G$2,D4)*C4</f>
        <v>#NAME?</v>
      </c>
      <c r="H4" t="e">
        <f ca="1">B4+_xlfn.T.INV.2T(G$2,D4)*C4</f>
        <v>#NAME?</v>
      </c>
    </row>
    <row r="5" spans="1:8">
      <c r="A5" s="10" t="e">
        <f ca="1"/>
        <v>#NAME?</v>
      </c>
      <c r="B5" s="10" t="e">
        <f ca="1"/>
        <v>#NAME?</v>
      </c>
      <c r="C5" s="10" t="e">
        <f ca="1"/>
        <v>#NAME?</v>
      </c>
      <c r="D5" s="10">
        <f>D4</f>
        <v>18</v>
      </c>
      <c r="E5" s="10" t="e">
        <f ca="1">B5/C5</f>
        <v>#NAME?</v>
      </c>
      <c r="F5" s="10" t="e">
        <f ca="1">_xlfn.T.DIST.2T(ABS(E5),D5)</f>
        <v>#NAME?</v>
      </c>
      <c r="G5" s="10" t="e">
        <f ca="1">B5-_xlfn.T.INV.2T(G$2,D5)*C5</f>
        <v>#NAME?</v>
      </c>
      <c r="H5" s="10" t="e">
        <f ca="1">B5+_xlfn.T.INV.2T(G$2,D5)*C5</f>
        <v>#NAME?</v>
      </c>
    </row>
    <row r="7" spans="1:8">
      <c r="A7" t="s">
        <v>52</v>
      </c>
    </row>
    <row r="8" spans="1:8" ht="15" thickBot="1">
      <c r="F8" t="s">
        <v>24</v>
      </c>
      <c r="G8">
        <v>2.5000000000000001E-2</v>
      </c>
    </row>
    <row r="9" spans="1:8" ht="15" thickTop="1">
      <c r="A9" s="28" t="s">
        <v>54</v>
      </c>
      <c r="B9" s="28" t="s">
        <v>53</v>
      </c>
      <c r="C9" s="28" t="s">
        <v>51</v>
      </c>
      <c r="D9" s="28" t="s">
        <v>46</v>
      </c>
      <c r="E9" s="28" t="s">
        <v>47</v>
      </c>
      <c r="F9" s="28" t="s">
        <v>21</v>
      </c>
      <c r="G9" s="28" t="s">
        <v>48</v>
      </c>
      <c r="H9" s="28" t="s">
        <v>49</v>
      </c>
    </row>
    <row r="10" spans="1:8">
      <c r="A10" t="s">
        <v>55</v>
      </c>
      <c r="B10" t="e">
        <f ca="1">1-B5</f>
        <v>#NAME?</v>
      </c>
      <c r="C10" t="e">
        <f ca="1">C5</f>
        <v>#NAME?</v>
      </c>
      <c r="D10">
        <f>D4</f>
        <v>18</v>
      </c>
      <c r="E10" t="e">
        <f ca="1">B10/C10</f>
        <v>#NAME?</v>
      </c>
      <c r="F10" t="e">
        <f ca="1">_xlfn.T.DIST.2T(ABS(E10),D10)</f>
        <v>#NAME?</v>
      </c>
      <c r="G10" t="e">
        <f ca="1">B10-_xlfn.T.INV.2T(G$8,D10)*C10</f>
        <v>#NAME?</v>
      </c>
      <c r="H10" t="e">
        <f ca="1">B10+_xlfn.T.INV.2T(G$8,D10)*C10</f>
        <v>#NAME?</v>
      </c>
    </row>
    <row r="11" spans="1:8">
      <c r="A11" s="10" t="s">
        <v>56</v>
      </c>
      <c r="B11" s="10" t="e">
        <f t="array" aca="1" ref="B11:C11" ca="1">TRANSPOSE(DRegIdentity('Dem 2'!B4:D13,'Dem 2'!E4:F13))</f>
        <v>#NAME?</v>
      </c>
      <c r="C11" s="10" t="e">
        <f ca="1"/>
        <v>#NAME?</v>
      </c>
      <c r="D11" s="10">
        <f>D10</f>
        <v>18</v>
      </c>
      <c r="E11" s="10" t="e">
        <f ca="1">B11/C11</f>
        <v>#NAME?</v>
      </c>
      <c r="F11" s="10" t="e">
        <f ca="1">_xlfn.T.DIST.2T(ABS(E11),D11)</f>
        <v>#NAME?</v>
      </c>
      <c r="G11" s="10" t="e">
        <f ca="1">B11-_xlfn.T.INV.2T(G$8,D11)*C11</f>
        <v>#NAME?</v>
      </c>
      <c r="H11" s="10" t="e">
        <f ca="1">B11+_xlfn.T.INV.2T(G$8,D11)*C11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Dem 1</vt:lpstr>
      <vt:lpstr>Dem 2</vt:lpstr>
      <vt:lpstr>Tool 1</vt:lpstr>
      <vt:lpstr>Tool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2023-09-16T15:19:09Z</dcterms:created>
  <dcterms:modified xsi:type="dcterms:W3CDTF">2023-10-01T17:15:41Z</dcterms:modified>
</cp:coreProperties>
</file>