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8E452372-12C3-4D63-BFF3-D9F0477EEFC7}" xr6:coauthVersionLast="47" xr6:coauthVersionMax="47" xr10:uidLastSave="{00000000-0000-0000-0000-000000000000}"/>
  <bookViews>
    <workbookView xWindow="-110" yWindow="-110" windowWidth="19420" windowHeight="10300" xr2:uid="{8143A45E-5989-4D74-9FB5-94272958E468}"/>
  </bookViews>
  <sheets>
    <sheet name="Title" sheetId="4" r:id="rId1"/>
    <sheet name="One sample" sheetId="1" r:id="rId2"/>
    <sheet name="Two samples" sheetId="2" r:id="rId3"/>
    <sheet name="Paired samples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2" l="1"/>
  <c r="AJ22" i="2"/>
  <c r="AJ15" i="2"/>
  <c r="AK8" i="2"/>
  <c r="AJ8" i="2"/>
  <c r="AQ7" i="2"/>
  <c r="AQ9" i="2" s="1"/>
  <c r="AP7" i="2"/>
  <c r="AQ6" i="2"/>
  <c r="AP6" i="2"/>
  <c r="D18" i="3"/>
  <c r="U17" i="3"/>
  <c r="D17" i="3"/>
  <c r="W16" i="3"/>
  <c r="G16" i="3"/>
  <c r="D16" i="3"/>
  <c r="W15" i="3"/>
  <c r="I15" i="3"/>
  <c r="D15" i="3"/>
  <c r="W14" i="3"/>
  <c r="I14" i="3"/>
  <c r="D14" i="3"/>
  <c r="W13" i="3"/>
  <c r="I13" i="3"/>
  <c r="D13" i="3"/>
  <c r="W12" i="3"/>
  <c r="I12" i="3"/>
  <c r="D12" i="3"/>
  <c r="W11" i="3"/>
  <c r="I11" i="3"/>
  <c r="D11" i="3"/>
  <c r="W10" i="3"/>
  <c r="I10" i="3"/>
  <c r="D10" i="3"/>
  <c r="W9" i="3"/>
  <c r="T9" i="3"/>
  <c r="T10" i="3" s="1"/>
  <c r="T11" i="3" s="1"/>
  <c r="T12" i="3" s="1"/>
  <c r="T13" i="3" s="1"/>
  <c r="T14" i="3" s="1"/>
  <c r="T15" i="3" s="1"/>
  <c r="I9" i="3"/>
  <c r="D9" i="3"/>
  <c r="W8" i="3"/>
  <c r="T8" i="3"/>
  <c r="I8" i="3"/>
  <c r="D8" i="3"/>
  <c r="W7" i="3"/>
  <c r="T7" i="3"/>
  <c r="I7" i="3"/>
  <c r="F7" i="3"/>
  <c r="F8" i="3" s="1"/>
  <c r="F9" i="3" s="1"/>
  <c r="F10" i="3" s="1"/>
  <c r="F11" i="3" s="1"/>
  <c r="F12" i="3" s="1"/>
  <c r="F13" i="3" s="1"/>
  <c r="F14" i="3" s="1"/>
  <c r="D7" i="3"/>
  <c r="W6" i="3"/>
  <c r="V6" i="3"/>
  <c r="V7" i="3" s="1"/>
  <c r="I6" i="3"/>
  <c r="H6" i="3"/>
  <c r="J6" i="3" s="1"/>
  <c r="D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D5" i="3"/>
  <c r="A5" i="3"/>
  <c r="D4" i="3"/>
  <c r="D19" i="3" s="1"/>
  <c r="S30" i="2"/>
  <c r="U29" i="2" s="1"/>
  <c r="E30" i="2"/>
  <c r="G29" i="2" s="1"/>
  <c r="U28" i="2"/>
  <c r="G28" i="2"/>
  <c r="U27" i="2"/>
  <c r="G27" i="2"/>
  <c r="U26" i="2"/>
  <c r="G26" i="2"/>
  <c r="U25" i="2"/>
  <c r="G25" i="2"/>
  <c r="U24" i="2"/>
  <c r="G24" i="2"/>
  <c r="G23" i="2"/>
  <c r="U22" i="2"/>
  <c r="G22" i="2"/>
  <c r="U21" i="2"/>
  <c r="G21" i="2"/>
  <c r="U20" i="2"/>
  <c r="G20" i="2"/>
  <c r="AB19" i="2"/>
  <c r="AF19" i="2" s="1"/>
  <c r="U19" i="2"/>
  <c r="G19" i="2"/>
  <c r="AB18" i="2"/>
  <c r="AF18" i="2" s="1"/>
  <c r="U18" i="2"/>
  <c r="G18" i="2"/>
  <c r="U17" i="2"/>
  <c r="G17" i="2"/>
  <c r="AC16" i="2"/>
  <c r="U16" i="2"/>
  <c r="G16" i="2"/>
  <c r="U15" i="2"/>
  <c r="G15" i="2"/>
  <c r="U14" i="2"/>
  <c r="G14" i="2"/>
  <c r="AA13" i="2"/>
  <c r="AA14" i="2" s="1"/>
  <c r="AC14" i="2" s="1"/>
  <c r="U13" i="2"/>
  <c r="G13" i="2"/>
  <c r="U12" i="2"/>
  <c r="G12" i="2"/>
  <c r="U11" i="2"/>
  <c r="G11" i="2"/>
  <c r="U10" i="2"/>
  <c r="G10" i="2"/>
  <c r="AA9" i="2"/>
  <c r="Y13" i="2" s="1"/>
  <c r="U9" i="2"/>
  <c r="G9" i="2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AA8" i="2"/>
  <c r="Z8" i="2"/>
  <c r="Y8" i="2"/>
  <c r="U8" i="2"/>
  <c r="T8" i="2"/>
  <c r="T9" i="2" s="1"/>
  <c r="G8" i="2"/>
  <c r="D8" i="2"/>
  <c r="AP9" i="2"/>
  <c r="AK7" i="2"/>
  <c r="AJ7" i="2"/>
  <c r="AA7" i="2"/>
  <c r="Y18" i="2" s="1"/>
  <c r="Y19" i="2" s="1"/>
  <c r="Z7" i="2"/>
  <c r="Z18" i="2" s="1"/>
  <c r="Y7" i="2"/>
  <c r="V7" i="2"/>
  <c r="U7" i="2"/>
  <c r="T7" i="2"/>
  <c r="R7" i="2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G7" i="2"/>
  <c r="D7" i="2"/>
  <c r="AK6" i="2"/>
  <c r="AJ6" i="2"/>
  <c r="V6" i="2"/>
  <c r="U6" i="2"/>
  <c r="T6" i="2"/>
  <c r="G6" i="2"/>
  <c r="F6" i="2"/>
  <c r="F7" i="2" s="1"/>
  <c r="E16" i="1"/>
  <c r="G8" i="1" s="1"/>
  <c r="G15" i="1"/>
  <c r="G14" i="1"/>
  <c r="G13" i="1"/>
  <c r="G10" i="1"/>
  <c r="G9" i="1"/>
  <c r="G7" i="1"/>
  <c r="F7" i="1"/>
  <c r="F8" i="1" s="1"/>
  <c r="D7" i="1"/>
  <c r="D8" i="1" s="1"/>
  <c r="D9" i="1" s="1"/>
  <c r="D10" i="1" s="1"/>
  <c r="D11" i="1" s="1"/>
  <c r="D12" i="1" s="1"/>
  <c r="D13" i="1" s="1"/>
  <c r="D14" i="1" s="1"/>
  <c r="G6" i="1"/>
  <c r="F6" i="1"/>
  <c r="H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K9" i="2" l="1"/>
  <c r="V8" i="3"/>
  <c r="X7" i="3"/>
  <c r="F9" i="1"/>
  <c r="H8" i="1"/>
  <c r="F8" i="2"/>
  <c r="H7" i="2"/>
  <c r="Z19" i="2"/>
  <c r="T10" i="2"/>
  <c r="V9" i="2"/>
  <c r="Z13" i="2"/>
  <c r="Y14" i="2"/>
  <c r="AE14" i="2" s="1"/>
  <c r="AD14" i="2"/>
  <c r="AA18" i="2"/>
  <c r="AJ14" i="2"/>
  <c r="X6" i="3"/>
  <c r="H7" i="1"/>
  <c r="G12" i="1"/>
  <c r="AB9" i="2"/>
  <c r="V8" i="2"/>
  <c r="AJ9" i="2"/>
  <c r="AJ13" i="2" s="1"/>
  <c r="AC13" i="2"/>
  <c r="U23" i="2"/>
  <c r="G11" i="1"/>
  <c r="H6" i="2"/>
  <c r="H7" i="3"/>
  <c r="AK18" i="2" l="1"/>
  <c r="AA19" i="2"/>
  <c r="AC19" i="2" s="1"/>
  <c r="AC18" i="2"/>
  <c r="AG18" i="2"/>
  <c r="AG19" i="2" s="1"/>
  <c r="AK23" i="2"/>
  <c r="AJ23" i="2"/>
  <c r="F9" i="2"/>
  <c r="H8" i="2"/>
  <c r="H8" i="3"/>
  <c r="J7" i="3"/>
  <c r="AG13" i="2"/>
  <c r="AG14" i="2" s="1"/>
  <c r="AB13" i="2"/>
  <c r="AF13" i="2" s="1"/>
  <c r="Z14" i="2"/>
  <c r="AB14" i="2" s="1"/>
  <c r="AF14" i="2" s="1"/>
  <c r="H9" i="1"/>
  <c r="F10" i="1"/>
  <c r="V10" i="2"/>
  <c r="T11" i="2"/>
  <c r="V9" i="3"/>
  <c r="X8" i="3"/>
  <c r="V10" i="3" l="1"/>
  <c r="X9" i="3"/>
  <c r="V11" i="2"/>
  <c r="T12" i="2"/>
  <c r="H9" i="3"/>
  <c r="J8" i="3"/>
  <c r="AE19" i="2"/>
  <c r="AD19" i="2"/>
  <c r="AJ18" i="2"/>
  <c r="F11" i="1"/>
  <c r="H10" i="1"/>
  <c r="H9" i="2"/>
  <c r="F10" i="2"/>
  <c r="AJ16" i="2"/>
  <c r="H10" i="2" l="1"/>
  <c r="F11" i="2"/>
  <c r="AJ17" i="2"/>
  <c r="AJ19" i="2"/>
  <c r="H10" i="3"/>
  <c r="J9" i="3"/>
  <c r="V12" i="2"/>
  <c r="T13" i="2"/>
  <c r="H11" i="1"/>
  <c r="F12" i="1"/>
  <c r="V11" i="3"/>
  <c r="X10" i="3"/>
  <c r="V12" i="3" l="1"/>
  <c r="X11" i="3"/>
  <c r="F13" i="1"/>
  <c r="H12" i="1"/>
  <c r="V13" i="2"/>
  <c r="T14" i="2"/>
  <c r="H11" i="3"/>
  <c r="J10" i="3"/>
  <c r="H11" i="2"/>
  <c r="F12" i="2"/>
  <c r="AJ20" i="2"/>
  <c r="AK19" i="2"/>
  <c r="AK20" i="2" s="1"/>
  <c r="H12" i="3" l="1"/>
  <c r="J11" i="3"/>
  <c r="H12" i="2"/>
  <c r="F13" i="2"/>
  <c r="V13" i="3"/>
  <c r="X12" i="3"/>
  <c r="T15" i="2"/>
  <c r="V14" i="2"/>
  <c r="F14" i="1"/>
  <c r="H13" i="1"/>
  <c r="V14" i="3" l="1"/>
  <c r="X13" i="3"/>
  <c r="V15" i="2"/>
  <c r="T16" i="2"/>
  <c r="H13" i="2"/>
  <c r="F14" i="2"/>
  <c r="H14" i="1"/>
  <c r="F15" i="1"/>
  <c r="H15" i="1" s="1"/>
  <c r="H13" i="3"/>
  <c r="J12" i="3"/>
  <c r="F15" i="2" l="1"/>
  <c r="H14" i="2"/>
  <c r="V16" i="2"/>
  <c r="T17" i="2"/>
  <c r="H14" i="3"/>
  <c r="J13" i="3"/>
  <c r="X14" i="3"/>
  <c r="V15" i="3"/>
  <c r="V16" i="3" l="1"/>
  <c r="X16" i="3" s="1"/>
  <c r="X15" i="3"/>
  <c r="J14" i="3"/>
  <c r="H15" i="3"/>
  <c r="J15" i="3" s="1"/>
  <c r="V17" i="2"/>
  <c r="T18" i="2"/>
  <c r="H15" i="2"/>
  <c r="F16" i="2"/>
  <c r="F17" i="2" l="1"/>
  <c r="H16" i="2"/>
  <c r="V18" i="2"/>
  <c r="T19" i="2"/>
  <c r="F18" i="2" l="1"/>
  <c r="H17" i="2"/>
  <c r="T20" i="2"/>
  <c r="V19" i="2"/>
  <c r="H18" i="2" l="1"/>
  <c r="F19" i="2"/>
  <c r="T21" i="2"/>
  <c r="V20" i="2"/>
  <c r="V21" i="2" l="1"/>
  <c r="T22" i="2"/>
  <c r="F20" i="2"/>
  <c r="H19" i="2"/>
  <c r="F21" i="2" l="1"/>
  <c r="H20" i="2"/>
  <c r="T23" i="2"/>
  <c r="V22" i="2"/>
  <c r="T24" i="2" l="1"/>
  <c r="V23" i="2"/>
  <c r="H21" i="2"/>
  <c r="F22" i="2"/>
  <c r="F23" i="2" l="1"/>
  <c r="H22" i="2"/>
  <c r="V24" i="2"/>
  <c r="T25" i="2"/>
  <c r="V25" i="2" l="1"/>
  <c r="T26" i="2"/>
  <c r="F24" i="2"/>
  <c r="H23" i="2"/>
  <c r="H24" i="2" l="1"/>
  <c r="F25" i="2"/>
  <c r="V26" i="2"/>
  <c r="T27" i="2"/>
  <c r="V27" i="2" l="1"/>
  <c r="T28" i="2"/>
  <c r="H25" i="2"/>
  <c r="F26" i="2"/>
  <c r="V28" i="2" l="1"/>
  <c r="T29" i="2"/>
  <c r="V29" i="2" s="1"/>
  <c r="H26" i="2"/>
  <c r="F27" i="2"/>
  <c r="H27" i="2" l="1"/>
  <c r="F28" i="2"/>
  <c r="H28" i="2" l="1"/>
  <c r="F29" i="2"/>
  <c r="H29" i="2" s="1"/>
</calcChain>
</file>

<file path=xl/sharedStrings.xml><?xml version="1.0" encoding="utf-8"?>
<sst xmlns="http://schemas.openxmlformats.org/spreadsheetml/2006/main" count="160" uniqueCount="75">
  <si>
    <t>Resampling - One sample</t>
  </si>
  <si>
    <t>Subject</t>
  </si>
  <si>
    <t>Memory</t>
  </si>
  <si>
    <t>Bootstrapping: one sample</t>
  </si>
  <si>
    <t>bin</t>
  </si>
  <si>
    <t>freq</t>
  </si>
  <si>
    <t>cum</t>
  </si>
  <si>
    <t>prob</t>
  </si>
  <si>
    <t>cum %</t>
  </si>
  <si>
    <t>More</t>
  </si>
  <si>
    <t>Analysis: median = 6</t>
  </si>
  <si>
    <t>Confidence interval</t>
  </si>
  <si>
    <t>alpha</t>
  </si>
  <si>
    <t>mean</t>
  </si>
  <si>
    <t>sample</t>
  </si>
  <si>
    <t>stdev</t>
  </si>
  <si>
    <t>left</t>
  </si>
  <si>
    <t>lower</t>
  </si>
  <si>
    <t>right</t>
  </si>
  <si>
    <t>upper</t>
  </si>
  <si>
    <t>p-value</t>
  </si>
  <si>
    <t>Resampling - Two independent samples</t>
  </si>
  <si>
    <t>Bootstrapping: two independent samples</t>
  </si>
  <si>
    <t>Randomization: two independent samples</t>
  </si>
  <si>
    <t>T Test: Two Independent Samples</t>
  </si>
  <si>
    <t>Mann-Whitney Test for Two Independent Samples</t>
  </si>
  <si>
    <t>Shapiro-Wilk Test</t>
  </si>
  <si>
    <t>SUMMARY</t>
  </si>
  <si>
    <t>Hyp Mean Diff</t>
  </si>
  <si>
    <t>Sample 1</t>
  </si>
  <si>
    <t>Sample 2</t>
  </si>
  <si>
    <t>Group 1</t>
  </si>
  <si>
    <t>Group 2</t>
  </si>
  <si>
    <t>Groups</t>
  </si>
  <si>
    <t>Count</t>
  </si>
  <si>
    <t>Mean</t>
  </si>
  <si>
    <t>Variance</t>
  </si>
  <si>
    <t>Cohen d</t>
  </si>
  <si>
    <t>count</t>
  </si>
  <si>
    <t>W</t>
  </si>
  <si>
    <t>median</t>
  </si>
  <si>
    <t>rank sum</t>
  </si>
  <si>
    <t>Pooled</t>
  </si>
  <si>
    <t>U</t>
  </si>
  <si>
    <t>normal</t>
  </si>
  <si>
    <t>T TEST: Equal Variances</t>
  </si>
  <si>
    <t>Alpha</t>
  </si>
  <si>
    <t>one tail</t>
  </si>
  <si>
    <t>two tail</t>
  </si>
  <si>
    <t xml:space="preserve"> </t>
  </si>
  <si>
    <t>std err</t>
  </si>
  <si>
    <t>t-stat</t>
  </si>
  <si>
    <t>df</t>
  </si>
  <si>
    <t>t-crit</t>
  </si>
  <si>
    <t>sig</t>
  </si>
  <si>
    <t>effect r</t>
  </si>
  <si>
    <t>One Tail</t>
  </si>
  <si>
    <t>Two Tail</t>
  </si>
  <si>
    <t>std dev</t>
  </si>
  <si>
    <t>T TEST: Unequal Variances</t>
  </si>
  <si>
    <t>z-score</t>
  </si>
  <si>
    <t>U-crit</t>
  </si>
  <si>
    <t>sig (exact)</t>
  </si>
  <si>
    <t>Analysis: mean</t>
  </si>
  <si>
    <t>Resampling - matched pairs</t>
  </si>
  <si>
    <t>Person</t>
  </si>
  <si>
    <t>Right</t>
  </si>
  <si>
    <t>Left</t>
  </si>
  <si>
    <t>Diff</t>
  </si>
  <si>
    <t>Randomization: two paired samples</t>
  </si>
  <si>
    <t>Bootstrapping: two paired samples</t>
  </si>
  <si>
    <t>Real Statistics Using Excel</t>
  </si>
  <si>
    <t>Updated</t>
  </si>
  <si>
    <t>Copyright © 2013 - 2023 Charles Zaiontz</t>
  </si>
  <si>
    <t>Resampling Data Analysis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</si>
</sst>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'One sample'!$D$6:$D$15</c:f>
              <c:strCache>
                <c:ptCount val="10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More</c:v>
                </c:pt>
              </c:strCache>
            </c:strRef>
          </c:cat>
          <c:val>
            <c:numRef>
              <c:f>'One sample'!$E$6:$E$15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187</c:v>
                </c:pt>
                <c:pt idx="3">
                  <c:v>1119</c:v>
                </c:pt>
                <c:pt idx="4">
                  <c:v>1008</c:v>
                </c:pt>
                <c:pt idx="5">
                  <c:v>2055</c:v>
                </c:pt>
                <c:pt idx="6">
                  <c:v>2225</c:v>
                </c:pt>
                <c:pt idx="7">
                  <c:v>3262</c:v>
                </c:pt>
                <c:pt idx="8">
                  <c:v>141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1-4DB0-BCFD-8B136EF8C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72120"/>
        <c:axId val="749378392"/>
      </c:barChart>
      <c:catAx>
        <c:axId val="74937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378392"/>
        <c:crosses val="autoZero"/>
        <c:auto val="1"/>
        <c:lblAlgn val="ctr"/>
        <c:lblOffset val="100"/>
        <c:noMultiLvlLbl val="0"/>
      </c:catAx>
      <c:valAx>
        <c:axId val="749378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372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'Two samples'!$D$6:$D$29</c:f>
              <c:strCache>
                <c:ptCount val="24"/>
                <c:pt idx="0">
                  <c:v>-8</c:v>
                </c:pt>
                <c:pt idx="1">
                  <c:v>-6</c:v>
                </c:pt>
                <c:pt idx="2">
                  <c:v>-4</c:v>
                </c:pt>
                <c:pt idx="3">
                  <c:v>-2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24</c:v>
                </c:pt>
                <c:pt idx="17">
                  <c:v>26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34</c:v>
                </c:pt>
                <c:pt idx="22">
                  <c:v>36</c:v>
                </c:pt>
                <c:pt idx="23">
                  <c:v>More</c:v>
                </c:pt>
              </c:strCache>
            </c:strRef>
          </c:cat>
          <c:val>
            <c:numRef>
              <c:f>'Two samples'!$E$6:$E$29</c:f>
              <c:numCache>
                <c:formatCode>General</c:formatCode>
                <c:ptCount val="24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14</c:v>
                </c:pt>
                <c:pt idx="4">
                  <c:v>24</c:v>
                </c:pt>
                <c:pt idx="5">
                  <c:v>43</c:v>
                </c:pt>
                <c:pt idx="6">
                  <c:v>49</c:v>
                </c:pt>
                <c:pt idx="7">
                  <c:v>83</c:v>
                </c:pt>
                <c:pt idx="8">
                  <c:v>136</c:v>
                </c:pt>
                <c:pt idx="9">
                  <c:v>156</c:v>
                </c:pt>
                <c:pt idx="10">
                  <c:v>187</c:v>
                </c:pt>
                <c:pt idx="11">
                  <c:v>227</c:v>
                </c:pt>
                <c:pt idx="12">
                  <c:v>200</c:v>
                </c:pt>
                <c:pt idx="13">
                  <c:v>191</c:v>
                </c:pt>
                <c:pt idx="14">
                  <c:v>196</c:v>
                </c:pt>
                <c:pt idx="15">
                  <c:v>154</c:v>
                </c:pt>
                <c:pt idx="16">
                  <c:v>105</c:v>
                </c:pt>
                <c:pt idx="17">
                  <c:v>73</c:v>
                </c:pt>
                <c:pt idx="18">
                  <c:v>63</c:v>
                </c:pt>
                <c:pt idx="19">
                  <c:v>48</c:v>
                </c:pt>
                <c:pt idx="20">
                  <c:v>20</c:v>
                </c:pt>
                <c:pt idx="21">
                  <c:v>11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7-49D2-A1C3-D3A67216D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85448"/>
        <c:axId val="749388192"/>
      </c:barChart>
      <c:catAx>
        <c:axId val="74938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388192"/>
        <c:crosses val="autoZero"/>
        <c:auto val="1"/>
        <c:lblAlgn val="ctr"/>
        <c:lblOffset val="100"/>
        <c:noMultiLvlLbl val="0"/>
      </c:catAx>
      <c:valAx>
        <c:axId val="749388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385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'Two samples'!$R$6:$R$29</c:f>
              <c:strCache>
                <c:ptCount val="24"/>
                <c:pt idx="0">
                  <c:v>-22</c:v>
                </c:pt>
                <c:pt idx="1">
                  <c:v>-20</c:v>
                </c:pt>
                <c:pt idx="2">
                  <c:v>-18</c:v>
                </c:pt>
                <c:pt idx="3">
                  <c:v>-16</c:v>
                </c:pt>
                <c:pt idx="4">
                  <c:v>-14</c:v>
                </c:pt>
                <c:pt idx="5">
                  <c:v>-12</c:v>
                </c:pt>
                <c:pt idx="6">
                  <c:v>-10</c:v>
                </c:pt>
                <c:pt idx="7">
                  <c:v>-8</c:v>
                </c:pt>
                <c:pt idx="8">
                  <c:v>-6</c:v>
                </c:pt>
                <c:pt idx="9">
                  <c:v>-4</c:v>
                </c:pt>
                <c:pt idx="10">
                  <c:v>-2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  <c:pt idx="23">
                  <c:v>More</c:v>
                </c:pt>
              </c:strCache>
            </c:strRef>
          </c:cat>
          <c:val>
            <c:numRef>
              <c:f>'Two samples'!$S$6:$S$29</c:f>
              <c:numCache>
                <c:formatCode>General</c:formatCode>
                <c:ptCount val="24"/>
                <c:pt idx="0">
                  <c:v>30</c:v>
                </c:pt>
                <c:pt idx="1">
                  <c:v>39</c:v>
                </c:pt>
                <c:pt idx="2">
                  <c:v>65</c:v>
                </c:pt>
                <c:pt idx="3">
                  <c:v>120</c:v>
                </c:pt>
                <c:pt idx="4">
                  <c:v>216</c:v>
                </c:pt>
                <c:pt idx="5">
                  <c:v>322</c:v>
                </c:pt>
                <c:pt idx="6">
                  <c:v>420</c:v>
                </c:pt>
                <c:pt idx="7">
                  <c:v>570</c:v>
                </c:pt>
                <c:pt idx="8">
                  <c:v>669</c:v>
                </c:pt>
                <c:pt idx="9">
                  <c:v>779</c:v>
                </c:pt>
                <c:pt idx="10">
                  <c:v>885</c:v>
                </c:pt>
                <c:pt idx="11">
                  <c:v>952</c:v>
                </c:pt>
                <c:pt idx="12">
                  <c:v>902</c:v>
                </c:pt>
                <c:pt idx="13">
                  <c:v>894</c:v>
                </c:pt>
                <c:pt idx="14">
                  <c:v>777</c:v>
                </c:pt>
                <c:pt idx="15">
                  <c:v>644</c:v>
                </c:pt>
                <c:pt idx="16">
                  <c:v>553</c:v>
                </c:pt>
                <c:pt idx="17">
                  <c:v>420</c:v>
                </c:pt>
                <c:pt idx="18">
                  <c:v>312</c:v>
                </c:pt>
                <c:pt idx="19">
                  <c:v>198</c:v>
                </c:pt>
                <c:pt idx="20">
                  <c:v>113</c:v>
                </c:pt>
                <c:pt idx="21">
                  <c:v>71</c:v>
                </c:pt>
                <c:pt idx="22">
                  <c:v>27</c:v>
                </c:pt>
                <c:pt idx="2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9-4B00-94F6-CBCBD1AE7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89760"/>
        <c:axId val="749395248"/>
      </c:barChart>
      <c:catAx>
        <c:axId val="74938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395248"/>
        <c:crosses val="autoZero"/>
        <c:auto val="1"/>
        <c:lblAlgn val="ctr"/>
        <c:lblOffset val="100"/>
        <c:noMultiLvlLbl val="0"/>
      </c:catAx>
      <c:valAx>
        <c:axId val="749395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38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'Paired samples'!$F$6:$F$15</c:f>
              <c:strCache>
                <c:ptCount val="10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More</c:v>
                </c:pt>
              </c:strCache>
            </c:strRef>
          </c:cat>
          <c:val>
            <c:numRef>
              <c:f>'Paired samples'!$G$6:$G$15</c:f>
              <c:numCache>
                <c:formatCode>General</c:formatCode>
                <c:ptCount val="10"/>
                <c:pt idx="0">
                  <c:v>69</c:v>
                </c:pt>
                <c:pt idx="1">
                  <c:v>136</c:v>
                </c:pt>
                <c:pt idx="2">
                  <c:v>213</c:v>
                </c:pt>
                <c:pt idx="3">
                  <c:v>241</c:v>
                </c:pt>
                <c:pt idx="4">
                  <c:v>368</c:v>
                </c:pt>
                <c:pt idx="5">
                  <c:v>317</c:v>
                </c:pt>
                <c:pt idx="6">
                  <c:v>308</c:v>
                </c:pt>
                <c:pt idx="7">
                  <c:v>171</c:v>
                </c:pt>
                <c:pt idx="8">
                  <c:v>120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4-4008-9F11-E586033FF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93288"/>
        <c:axId val="749392896"/>
      </c:barChart>
      <c:catAx>
        <c:axId val="7493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392896"/>
        <c:crosses val="autoZero"/>
        <c:auto val="1"/>
        <c:lblAlgn val="ctr"/>
        <c:lblOffset val="100"/>
        <c:noMultiLvlLbl val="0"/>
      </c:catAx>
      <c:valAx>
        <c:axId val="749392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393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'Paired samples'!$T$6:$T$16</c:f>
              <c:strCache>
                <c:ptCount val="11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More</c:v>
                </c:pt>
              </c:strCache>
            </c:strRef>
          </c:cat>
          <c:val>
            <c:numRef>
              <c:f>'Paired samples'!$U$6:$U$16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14</c:v>
                </c:pt>
                <c:pt idx="3">
                  <c:v>230</c:v>
                </c:pt>
                <c:pt idx="4">
                  <c:v>582</c:v>
                </c:pt>
                <c:pt idx="5">
                  <c:v>697</c:v>
                </c:pt>
                <c:pt idx="6">
                  <c:v>358</c:v>
                </c:pt>
                <c:pt idx="7">
                  <c:v>104</c:v>
                </c:pt>
                <c:pt idx="8">
                  <c:v>11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0-4AF5-BC2E-4B70252E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388976"/>
        <c:axId val="749394072"/>
      </c:barChart>
      <c:catAx>
        <c:axId val="74938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394072"/>
        <c:crosses val="autoZero"/>
        <c:auto val="1"/>
        <c:lblAlgn val="ctr"/>
        <c:lblOffset val="100"/>
        <c:noMultiLvlLbl val="0"/>
      </c:catAx>
      <c:valAx>
        <c:axId val="749394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938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14287</xdr:rowOff>
    </xdr:from>
    <xdr:to>
      <xdr:col>15</xdr:col>
      <xdr:colOff>495300</xdr:colOff>
      <xdr:row>16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98802E-F54C-4C03-BDEE-B30A325E8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138112</xdr:rowOff>
    </xdr:from>
    <xdr:to>
      <xdr:col>15</xdr:col>
      <xdr:colOff>428625</xdr:colOff>
      <xdr:row>16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F5AD58-7021-4147-A13D-D5580DFBB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17</xdr:row>
      <xdr:rowOff>4762</xdr:rowOff>
    </xdr:from>
    <xdr:to>
      <xdr:col>15</xdr:col>
      <xdr:colOff>447675</xdr:colOff>
      <xdr:row>31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C886C0-A7C4-4302-B9D8-C8708FD9C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109537</xdr:rowOff>
    </xdr:from>
    <xdr:to>
      <xdr:col>18</xdr:col>
      <xdr:colOff>85725</xdr:colOff>
      <xdr:row>15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64C08-79D3-4316-8033-E6A1E0729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16</xdr:row>
      <xdr:rowOff>100012</xdr:rowOff>
    </xdr:from>
    <xdr:to>
      <xdr:col>18</xdr:col>
      <xdr:colOff>114300</xdr:colOff>
      <xdr:row>30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2B5DA4-8CB2-4E4B-8B88-B9643942A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Non-Parametric%202%209%20Dec%202020.xlsx" TargetMode="External"/><Relationship Id="rId1" Type="http://schemas.openxmlformats.org/officeDocument/2006/relationships/externalLinkPath" Target="/Users/user/Documents/A%20Real%20Statistics%202020/Examples/Real%20Statistics%20Examples%20Non-Parametric%202%209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Fligner"/>
      <sheetName val="McNemar"/>
      <sheetName val="McNemar 1"/>
      <sheetName val="Runs Test 0"/>
      <sheetName val="Runs Test 1"/>
      <sheetName val="Runs Test 2"/>
      <sheetName val="Runs Test 3"/>
      <sheetName val="Resamp 1"/>
      <sheetName val="Resamp 1a"/>
      <sheetName val="Resamp 2"/>
      <sheetName val="Resamp 2a"/>
      <sheetName val="Resamp 3"/>
      <sheetName val="Resamp 3a"/>
      <sheetName val="Resamp 4"/>
      <sheetName val="Resamp 5"/>
      <sheetName val="Resamp 6"/>
      <sheetName val="MK"/>
      <sheetName val="Sen"/>
      <sheetName val="MK + Sen"/>
      <sheetName val="Gini"/>
      <sheetName val="Bowker"/>
      <sheetName val="Tol"/>
      <sheetName val="Runs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D6">
            <v>4</v>
          </cell>
          <cell r="E6">
            <v>1</v>
          </cell>
        </row>
        <row r="7">
          <cell r="D7">
            <v>5</v>
          </cell>
          <cell r="E7">
            <v>0</v>
          </cell>
        </row>
        <row r="8">
          <cell r="D8">
            <v>6</v>
          </cell>
          <cell r="E8">
            <v>187</v>
          </cell>
        </row>
        <row r="9">
          <cell r="D9">
            <v>7</v>
          </cell>
          <cell r="E9">
            <v>1119</v>
          </cell>
        </row>
        <row r="10">
          <cell r="D10">
            <v>8</v>
          </cell>
          <cell r="E10">
            <v>1008</v>
          </cell>
        </row>
        <row r="11">
          <cell r="D11">
            <v>9</v>
          </cell>
          <cell r="E11">
            <v>2055</v>
          </cell>
        </row>
        <row r="12">
          <cell r="D12">
            <v>10</v>
          </cell>
          <cell r="E12">
            <v>2225</v>
          </cell>
        </row>
        <row r="13">
          <cell r="D13">
            <v>11</v>
          </cell>
          <cell r="E13">
            <v>3262</v>
          </cell>
        </row>
        <row r="14">
          <cell r="D14">
            <v>12</v>
          </cell>
          <cell r="E14">
            <v>141</v>
          </cell>
        </row>
        <row r="15">
          <cell r="D15" t="str">
            <v>More</v>
          </cell>
          <cell r="E15">
            <v>2</v>
          </cell>
        </row>
      </sheetData>
      <sheetData sheetId="16">
        <row r="6">
          <cell r="D6">
            <v>-8</v>
          </cell>
          <cell r="E6">
            <v>1</v>
          </cell>
          <cell r="R6">
            <v>-22</v>
          </cell>
          <cell r="S6">
            <v>30</v>
          </cell>
        </row>
        <row r="7">
          <cell r="D7">
            <v>-6</v>
          </cell>
          <cell r="E7">
            <v>5</v>
          </cell>
          <cell r="R7">
            <v>-20</v>
          </cell>
          <cell r="S7">
            <v>39</v>
          </cell>
        </row>
        <row r="8">
          <cell r="D8">
            <v>-4</v>
          </cell>
          <cell r="E8">
            <v>9</v>
          </cell>
          <cell r="R8">
            <v>-18</v>
          </cell>
          <cell r="S8">
            <v>65</v>
          </cell>
        </row>
        <row r="9">
          <cell r="D9">
            <v>-2</v>
          </cell>
          <cell r="E9">
            <v>14</v>
          </cell>
          <cell r="R9">
            <v>-16</v>
          </cell>
          <cell r="S9">
            <v>120</v>
          </cell>
        </row>
        <row r="10">
          <cell r="D10">
            <v>0</v>
          </cell>
          <cell r="E10">
            <v>24</v>
          </cell>
          <cell r="R10">
            <v>-14</v>
          </cell>
          <cell r="S10">
            <v>216</v>
          </cell>
        </row>
        <row r="11">
          <cell r="D11">
            <v>2</v>
          </cell>
          <cell r="E11">
            <v>43</v>
          </cell>
          <cell r="R11">
            <v>-12</v>
          </cell>
          <cell r="S11">
            <v>322</v>
          </cell>
        </row>
        <row r="12">
          <cell r="D12">
            <v>4</v>
          </cell>
          <cell r="E12">
            <v>49</v>
          </cell>
          <cell r="R12">
            <v>-10</v>
          </cell>
          <cell r="S12">
            <v>420</v>
          </cell>
        </row>
        <row r="13">
          <cell r="D13">
            <v>6</v>
          </cell>
          <cell r="E13">
            <v>83</v>
          </cell>
          <cell r="R13">
            <v>-8</v>
          </cell>
          <cell r="S13">
            <v>570</v>
          </cell>
        </row>
        <row r="14">
          <cell r="D14">
            <v>8</v>
          </cell>
          <cell r="E14">
            <v>136</v>
          </cell>
          <cell r="R14">
            <v>-6</v>
          </cell>
          <cell r="S14">
            <v>669</v>
          </cell>
        </row>
        <row r="15">
          <cell r="D15">
            <v>10</v>
          </cell>
          <cell r="E15">
            <v>156</v>
          </cell>
          <cell r="R15">
            <v>-4</v>
          </cell>
          <cell r="S15">
            <v>779</v>
          </cell>
        </row>
        <row r="16">
          <cell r="D16">
            <v>12</v>
          </cell>
          <cell r="E16">
            <v>187</v>
          </cell>
          <cell r="R16">
            <v>-2</v>
          </cell>
          <cell r="S16">
            <v>885</v>
          </cell>
        </row>
        <row r="17">
          <cell r="D17">
            <v>14</v>
          </cell>
          <cell r="E17">
            <v>227</v>
          </cell>
          <cell r="R17">
            <v>0</v>
          </cell>
          <cell r="S17">
            <v>952</v>
          </cell>
        </row>
        <row r="18">
          <cell r="D18">
            <v>16</v>
          </cell>
          <cell r="E18">
            <v>200</v>
          </cell>
          <cell r="R18">
            <v>2</v>
          </cell>
          <cell r="S18">
            <v>902</v>
          </cell>
        </row>
        <row r="19">
          <cell r="D19">
            <v>18</v>
          </cell>
          <cell r="E19">
            <v>191</v>
          </cell>
          <cell r="R19">
            <v>4</v>
          </cell>
          <cell r="S19">
            <v>894</v>
          </cell>
        </row>
        <row r="20">
          <cell r="D20">
            <v>20</v>
          </cell>
          <cell r="E20">
            <v>196</v>
          </cell>
          <cell r="R20">
            <v>6</v>
          </cell>
          <cell r="S20">
            <v>777</v>
          </cell>
        </row>
        <row r="21">
          <cell r="D21">
            <v>22</v>
          </cell>
          <cell r="E21">
            <v>154</v>
          </cell>
          <cell r="R21">
            <v>8</v>
          </cell>
          <cell r="S21">
            <v>644</v>
          </cell>
        </row>
        <row r="22">
          <cell r="D22">
            <v>24</v>
          </cell>
          <cell r="E22">
            <v>105</v>
          </cell>
          <cell r="R22">
            <v>10</v>
          </cell>
          <cell r="S22">
            <v>553</v>
          </cell>
        </row>
        <row r="23">
          <cell r="D23">
            <v>26</v>
          </cell>
          <cell r="E23">
            <v>73</v>
          </cell>
          <cell r="R23">
            <v>12</v>
          </cell>
          <cell r="S23">
            <v>420</v>
          </cell>
        </row>
        <row r="24">
          <cell r="D24">
            <v>28</v>
          </cell>
          <cell r="E24">
            <v>63</v>
          </cell>
          <cell r="R24">
            <v>14</v>
          </cell>
          <cell r="S24">
            <v>312</v>
          </cell>
        </row>
        <row r="25">
          <cell r="D25">
            <v>30</v>
          </cell>
          <cell r="E25">
            <v>48</v>
          </cell>
          <cell r="R25">
            <v>16</v>
          </cell>
          <cell r="S25">
            <v>198</v>
          </cell>
        </row>
        <row r="26">
          <cell r="D26">
            <v>32</v>
          </cell>
          <cell r="E26">
            <v>20</v>
          </cell>
          <cell r="R26">
            <v>18</v>
          </cell>
          <cell r="S26">
            <v>113</v>
          </cell>
        </row>
        <row r="27">
          <cell r="D27">
            <v>34</v>
          </cell>
          <cell r="E27">
            <v>11</v>
          </cell>
          <cell r="R27">
            <v>20</v>
          </cell>
          <cell r="S27">
            <v>71</v>
          </cell>
        </row>
        <row r="28">
          <cell r="D28">
            <v>36</v>
          </cell>
          <cell r="E28">
            <v>4</v>
          </cell>
          <cell r="R28">
            <v>22</v>
          </cell>
          <cell r="S28">
            <v>27</v>
          </cell>
        </row>
        <row r="29">
          <cell r="D29" t="str">
            <v>More</v>
          </cell>
          <cell r="E29">
            <v>1</v>
          </cell>
          <cell r="R29" t="str">
            <v>More</v>
          </cell>
          <cell r="S29">
            <v>22</v>
          </cell>
        </row>
      </sheetData>
      <sheetData sheetId="17">
        <row r="6">
          <cell r="F6">
            <v>-4</v>
          </cell>
          <cell r="G6">
            <v>69</v>
          </cell>
          <cell r="T6">
            <v>-6</v>
          </cell>
          <cell r="U6">
            <v>0</v>
          </cell>
        </row>
        <row r="7">
          <cell r="F7">
            <v>-3</v>
          </cell>
          <cell r="G7">
            <v>136</v>
          </cell>
          <cell r="T7">
            <v>-4</v>
          </cell>
          <cell r="U7">
            <v>1</v>
          </cell>
        </row>
        <row r="8">
          <cell r="F8">
            <v>-2</v>
          </cell>
          <cell r="G8">
            <v>213</v>
          </cell>
          <cell r="T8">
            <v>-2</v>
          </cell>
          <cell r="U8">
            <v>14</v>
          </cell>
        </row>
        <row r="9">
          <cell r="F9">
            <v>-1</v>
          </cell>
          <cell r="G9">
            <v>241</v>
          </cell>
          <cell r="T9">
            <v>0</v>
          </cell>
          <cell r="U9">
            <v>230</v>
          </cell>
        </row>
        <row r="10">
          <cell r="F10">
            <v>0</v>
          </cell>
          <cell r="G10">
            <v>368</v>
          </cell>
          <cell r="T10">
            <v>2</v>
          </cell>
          <cell r="U10">
            <v>582</v>
          </cell>
        </row>
        <row r="11">
          <cell r="F11">
            <v>1</v>
          </cell>
          <cell r="G11">
            <v>317</v>
          </cell>
          <cell r="T11">
            <v>4</v>
          </cell>
          <cell r="U11">
            <v>697</v>
          </cell>
        </row>
        <row r="12">
          <cell r="F12">
            <v>2</v>
          </cell>
          <cell r="G12">
            <v>308</v>
          </cell>
          <cell r="T12">
            <v>6</v>
          </cell>
          <cell r="U12">
            <v>358</v>
          </cell>
        </row>
        <row r="13">
          <cell r="F13">
            <v>3</v>
          </cell>
          <cell r="G13">
            <v>171</v>
          </cell>
          <cell r="T13">
            <v>8</v>
          </cell>
          <cell r="U13">
            <v>104</v>
          </cell>
        </row>
        <row r="14">
          <cell r="F14">
            <v>4</v>
          </cell>
          <cell r="G14">
            <v>120</v>
          </cell>
          <cell r="T14">
            <v>10</v>
          </cell>
          <cell r="U14">
            <v>11</v>
          </cell>
        </row>
        <row r="15">
          <cell r="F15" t="str">
            <v>More</v>
          </cell>
          <cell r="G15">
            <v>57</v>
          </cell>
          <cell r="T15">
            <v>12</v>
          </cell>
          <cell r="U15">
            <v>3</v>
          </cell>
        </row>
        <row r="16">
          <cell r="T16" t="str">
            <v>More</v>
          </cell>
          <cell r="U16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FC15-8AD9-4CE2-B27A-599199075874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71</v>
      </c>
    </row>
    <row r="2" spans="1:2" x14ac:dyDescent="0.35">
      <c r="A2" t="s">
        <v>74</v>
      </c>
    </row>
    <row r="4" spans="1:2" x14ac:dyDescent="0.35">
      <c r="A4" t="s">
        <v>72</v>
      </c>
      <c r="B4" s="28">
        <v>45190</v>
      </c>
    </row>
    <row r="6" spans="1:2" x14ac:dyDescent="0.35">
      <c r="A6" s="29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0657A-26D5-4D51-B2A1-B8ABDB37427D}">
  <sheetPr codeName="Sheet401"/>
  <dimension ref="A1:H24"/>
  <sheetViews>
    <sheetView workbookViewId="0"/>
  </sheetViews>
  <sheetFormatPr defaultRowHeight="14.5" x14ac:dyDescent="0.35"/>
  <cols>
    <col min="3" max="3" width="6.7265625" customWidth="1"/>
  </cols>
  <sheetData>
    <row r="1" spans="1:8" x14ac:dyDescent="0.35">
      <c r="A1" s="1" t="s">
        <v>0</v>
      </c>
    </row>
    <row r="2" spans="1:8" x14ac:dyDescent="0.35">
      <c r="A2" s="1"/>
    </row>
    <row r="3" spans="1:8" x14ac:dyDescent="0.35">
      <c r="A3" s="2" t="s">
        <v>1</v>
      </c>
      <c r="B3" s="3" t="s">
        <v>2</v>
      </c>
      <c r="D3" t="s">
        <v>3</v>
      </c>
    </row>
    <row r="4" spans="1:8" ht="15" thickBot="1" x14ac:dyDescent="0.4">
      <c r="A4" s="4">
        <v>1</v>
      </c>
      <c r="B4" s="5">
        <v>3</v>
      </c>
    </row>
    <row r="5" spans="1:8" ht="15" thickTop="1" x14ac:dyDescent="0.35">
      <c r="A5" s="4">
        <f>A4+1</f>
        <v>2</v>
      </c>
      <c r="B5" s="5">
        <v>4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x14ac:dyDescent="0.35">
      <c r="A6" s="4">
        <f t="shared" ref="A6:A23" si="0">A5+1</f>
        <v>3</v>
      </c>
      <c r="B6" s="5">
        <v>4</v>
      </c>
      <c r="D6">
        <v>4</v>
      </c>
      <c r="E6">
        <v>1</v>
      </c>
      <c r="F6">
        <f>E6</f>
        <v>1</v>
      </c>
      <c r="G6">
        <f>E6/E$16</f>
        <v>1E-4</v>
      </c>
      <c r="H6">
        <f>F6/E$16</f>
        <v>1E-4</v>
      </c>
    </row>
    <row r="7" spans="1:8" x14ac:dyDescent="0.35">
      <c r="A7" s="4">
        <f t="shared" si="0"/>
        <v>4</v>
      </c>
      <c r="B7" s="5">
        <v>6</v>
      </c>
      <c r="D7">
        <f>D6+1</f>
        <v>5</v>
      </c>
      <c r="E7">
        <v>0</v>
      </c>
      <c r="F7">
        <f>F6+E7</f>
        <v>1</v>
      </c>
      <c r="G7">
        <f t="shared" ref="G7:G15" si="1">E7/E$16</f>
        <v>0</v>
      </c>
      <c r="H7">
        <f t="shared" ref="H7:H15" si="2">F7/E$16</f>
        <v>1E-4</v>
      </c>
    </row>
    <row r="8" spans="1:8" x14ac:dyDescent="0.35">
      <c r="A8" s="4">
        <f t="shared" si="0"/>
        <v>5</v>
      </c>
      <c r="B8" s="5">
        <v>6</v>
      </c>
      <c r="D8">
        <f t="shared" ref="D8:D14" si="3">D7+1</f>
        <v>6</v>
      </c>
      <c r="E8">
        <v>187</v>
      </c>
      <c r="F8">
        <f t="shared" ref="F8:F15" si="4">F7+E8</f>
        <v>188</v>
      </c>
      <c r="G8">
        <f t="shared" si="1"/>
        <v>1.8700000000000001E-2</v>
      </c>
      <c r="H8">
        <f t="shared" si="2"/>
        <v>1.8800000000000001E-2</v>
      </c>
    </row>
    <row r="9" spans="1:8" x14ac:dyDescent="0.35">
      <c r="A9" s="4">
        <f t="shared" si="0"/>
        <v>6</v>
      </c>
      <c r="B9" s="5">
        <v>6</v>
      </c>
      <c r="D9">
        <f t="shared" si="3"/>
        <v>7</v>
      </c>
      <c r="E9">
        <v>1119</v>
      </c>
      <c r="F9">
        <f t="shared" si="4"/>
        <v>1307</v>
      </c>
      <c r="G9">
        <f t="shared" si="1"/>
        <v>0.1119</v>
      </c>
      <c r="H9">
        <f t="shared" si="2"/>
        <v>0.13070000000000001</v>
      </c>
    </row>
    <row r="10" spans="1:8" x14ac:dyDescent="0.35">
      <c r="A10" s="4">
        <f t="shared" si="0"/>
        <v>7</v>
      </c>
      <c r="B10" s="5">
        <v>7</v>
      </c>
      <c r="D10">
        <f t="shared" si="3"/>
        <v>8</v>
      </c>
      <c r="E10">
        <v>1008</v>
      </c>
      <c r="F10">
        <f t="shared" si="4"/>
        <v>2315</v>
      </c>
      <c r="G10">
        <f t="shared" si="1"/>
        <v>0.1008</v>
      </c>
      <c r="H10">
        <f t="shared" si="2"/>
        <v>0.23150000000000001</v>
      </c>
    </row>
    <row r="11" spans="1:8" x14ac:dyDescent="0.35">
      <c r="A11" s="4">
        <f t="shared" si="0"/>
        <v>8</v>
      </c>
      <c r="B11" s="5">
        <v>7</v>
      </c>
      <c r="D11">
        <f t="shared" si="3"/>
        <v>9</v>
      </c>
      <c r="E11">
        <v>2055</v>
      </c>
      <c r="F11">
        <f t="shared" si="4"/>
        <v>4370</v>
      </c>
      <c r="G11">
        <f t="shared" si="1"/>
        <v>0.20549999999999999</v>
      </c>
      <c r="H11">
        <f t="shared" si="2"/>
        <v>0.437</v>
      </c>
    </row>
    <row r="12" spans="1:8" x14ac:dyDescent="0.35">
      <c r="A12" s="4">
        <f t="shared" si="0"/>
        <v>9</v>
      </c>
      <c r="B12" s="5">
        <v>9</v>
      </c>
      <c r="D12">
        <f t="shared" si="3"/>
        <v>10</v>
      </c>
      <c r="E12">
        <v>2225</v>
      </c>
      <c r="F12">
        <f t="shared" si="4"/>
        <v>6595</v>
      </c>
      <c r="G12">
        <f t="shared" si="1"/>
        <v>0.2225</v>
      </c>
      <c r="H12">
        <f t="shared" si="2"/>
        <v>0.65949999999999998</v>
      </c>
    </row>
    <row r="13" spans="1:8" x14ac:dyDescent="0.35">
      <c r="A13" s="4">
        <f t="shared" si="0"/>
        <v>10</v>
      </c>
      <c r="B13" s="5">
        <v>9</v>
      </c>
      <c r="D13">
        <f t="shared" si="3"/>
        <v>11</v>
      </c>
      <c r="E13">
        <v>3262</v>
      </c>
      <c r="F13">
        <f t="shared" si="4"/>
        <v>9857</v>
      </c>
      <c r="G13">
        <f t="shared" si="1"/>
        <v>0.32619999999999999</v>
      </c>
      <c r="H13">
        <f t="shared" si="2"/>
        <v>0.98570000000000002</v>
      </c>
    </row>
    <row r="14" spans="1:8" x14ac:dyDescent="0.35">
      <c r="A14" s="4">
        <f t="shared" si="0"/>
        <v>11</v>
      </c>
      <c r="B14" s="5">
        <v>10</v>
      </c>
      <c r="D14">
        <f t="shared" si="3"/>
        <v>12</v>
      </c>
      <c r="E14">
        <v>141</v>
      </c>
      <c r="F14">
        <f t="shared" si="4"/>
        <v>9998</v>
      </c>
      <c r="G14">
        <f t="shared" si="1"/>
        <v>1.41E-2</v>
      </c>
      <c r="H14">
        <f t="shared" si="2"/>
        <v>0.99980000000000002</v>
      </c>
    </row>
    <row r="15" spans="1:8" x14ac:dyDescent="0.35">
      <c r="A15" s="4">
        <f t="shared" si="0"/>
        <v>12</v>
      </c>
      <c r="B15" s="5">
        <v>11</v>
      </c>
      <c r="D15" s="7" t="s">
        <v>9</v>
      </c>
      <c r="E15" s="7">
        <v>2</v>
      </c>
      <c r="F15" s="7">
        <f t="shared" si="4"/>
        <v>10000</v>
      </c>
      <c r="G15" s="7">
        <f t="shared" si="1"/>
        <v>2.0000000000000001E-4</v>
      </c>
      <c r="H15" s="7">
        <f t="shared" si="2"/>
        <v>1</v>
      </c>
    </row>
    <row r="16" spans="1:8" x14ac:dyDescent="0.35">
      <c r="A16" s="4">
        <f t="shared" si="0"/>
        <v>13</v>
      </c>
      <c r="B16" s="5">
        <v>11</v>
      </c>
      <c r="E16">
        <f>SUM(E6:E15)</f>
        <v>10000</v>
      </c>
    </row>
    <row r="17" spans="1:8" x14ac:dyDescent="0.35">
      <c r="A17" s="4">
        <f t="shared" si="0"/>
        <v>14</v>
      </c>
      <c r="B17" s="5">
        <v>11</v>
      </c>
    </row>
    <row r="18" spans="1:8" x14ac:dyDescent="0.35">
      <c r="A18" s="4">
        <f t="shared" si="0"/>
        <v>15</v>
      </c>
      <c r="B18" s="5">
        <v>11</v>
      </c>
      <c r="D18" t="s">
        <v>10</v>
      </c>
      <c r="G18" t="s">
        <v>11</v>
      </c>
    </row>
    <row r="19" spans="1:8" x14ac:dyDescent="0.35">
      <c r="A19" s="4">
        <f t="shared" si="0"/>
        <v>16</v>
      </c>
      <c r="B19" s="5">
        <v>12</v>
      </c>
    </row>
    <row r="20" spans="1:8" x14ac:dyDescent="0.35">
      <c r="A20" s="4">
        <f t="shared" si="0"/>
        <v>17</v>
      </c>
      <c r="B20" s="5">
        <v>12</v>
      </c>
      <c r="D20" t="s">
        <v>12</v>
      </c>
      <c r="E20" s="8">
        <v>0.05</v>
      </c>
      <c r="G20" t="s">
        <v>13</v>
      </c>
      <c r="H20" s="8">
        <v>9.4130000000000003</v>
      </c>
    </row>
    <row r="21" spans="1:8" x14ac:dyDescent="0.35">
      <c r="A21" s="4">
        <f t="shared" si="0"/>
        <v>18</v>
      </c>
      <c r="B21" s="5">
        <v>13</v>
      </c>
      <c r="D21" t="s">
        <v>14</v>
      </c>
      <c r="E21" s="9">
        <v>9.5</v>
      </c>
      <c r="G21" t="s">
        <v>15</v>
      </c>
      <c r="H21" s="9">
        <v>1.4129510405758268</v>
      </c>
    </row>
    <row r="22" spans="1:8" x14ac:dyDescent="0.35">
      <c r="A22" s="4">
        <f t="shared" si="0"/>
        <v>19</v>
      </c>
      <c r="B22" s="5">
        <v>13</v>
      </c>
      <c r="D22" t="s">
        <v>16</v>
      </c>
      <c r="E22" s="9">
        <v>1.8800000000000001E-2</v>
      </c>
      <c r="G22" t="s">
        <v>17</v>
      </c>
      <c r="H22" s="9">
        <v>6.5</v>
      </c>
    </row>
    <row r="23" spans="1:8" x14ac:dyDescent="0.35">
      <c r="A23" s="10">
        <f t="shared" si="0"/>
        <v>20</v>
      </c>
      <c r="B23" s="11">
        <v>15</v>
      </c>
      <c r="D23" t="s">
        <v>18</v>
      </c>
      <c r="E23" s="9">
        <v>1E-4</v>
      </c>
      <c r="G23" t="s">
        <v>19</v>
      </c>
      <c r="H23" s="12">
        <v>11</v>
      </c>
    </row>
    <row r="24" spans="1:8" x14ac:dyDescent="0.35">
      <c r="D24" t="s">
        <v>20</v>
      </c>
      <c r="E24" s="12">
        <v>1.89E-2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B1E0-0F65-4B18-B7B0-F23C91E11E59}">
  <sheetPr codeName="Sheet402"/>
  <dimension ref="A1:AQ45"/>
  <sheetViews>
    <sheetView zoomScaleNormal="100" workbookViewId="0"/>
  </sheetViews>
  <sheetFormatPr defaultRowHeight="14.5" x14ac:dyDescent="0.35"/>
  <cols>
    <col min="3" max="3" width="9.1796875" customWidth="1"/>
    <col min="32" max="32" width="9.1796875" customWidth="1"/>
    <col min="34" max="34" width="9.1796875" customWidth="1"/>
    <col min="35" max="35" width="10.81640625" customWidth="1"/>
  </cols>
  <sheetData>
    <row r="1" spans="1:43" x14ac:dyDescent="0.35">
      <c r="A1" s="1" t="s">
        <v>21</v>
      </c>
    </row>
    <row r="3" spans="1:43" x14ac:dyDescent="0.35">
      <c r="A3" s="13">
        <v>33</v>
      </c>
      <c r="B3" s="13">
        <v>19</v>
      </c>
      <c r="D3" t="s">
        <v>22</v>
      </c>
      <c r="R3" t="s">
        <v>23</v>
      </c>
      <c r="X3" t="s">
        <v>24</v>
      </c>
      <c r="AI3" t="s">
        <v>25</v>
      </c>
      <c r="AO3" t="s">
        <v>26</v>
      </c>
    </row>
    <row r="4" spans="1:43" ht="15" thickBot="1" x14ac:dyDescent="0.4">
      <c r="A4">
        <v>47</v>
      </c>
      <c r="B4">
        <v>31</v>
      </c>
    </row>
    <row r="5" spans="1:43" ht="15.5" thickTop="1" thickBot="1" x14ac:dyDescent="0.4">
      <c r="A5">
        <v>84</v>
      </c>
      <c r="B5">
        <v>29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  <c r="X5" t="s">
        <v>27</v>
      </c>
      <c r="AA5" t="s">
        <v>28</v>
      </c>
      <c r="AB5">
        <v>0</v>
      </c>
      <c r="AJ5" t="s">
        <v>29</v>
      </c>
      <c r="AK5" t="s">
        <v>30</v>
      </c>
      <c r="AO5" s="14"/>
      <c r="AP5" s="14" t="s">
        <v>31</v>
      </c>
      <c r="AQ5" s="14" t="s">
        <v>32</v>
      </c>
    </row>
    <row r="6" spans="1:43" ht="15" thickTop="1" x14ac:dyDescent="0.35">
      <c r="A6">
        <v>23</v>
      </c>
      <c r="B6">
        <v>14</v>
      </c>
      <c r="D6">
        <v>-8</v>
      </c>
      <c r="E6">
        <v>1</v>
      </c>
      <c r="F6">
        <f>E6</f>
        <v>1</v>
      </c>
      <c r="G6">
        <f>E6/E$30</f>
        <v>5.0000000000000001E-4</v>
      </c>
      <c r="H6">
        <f>F6/E$30</f>
        <v>5.0000000000000001E-4</v>
      </c>
      <c r="R6">
        <v>-22</v>
      </c>
      <c r="S6">
        <v>30</v>
      </c>
      <c r="T6">
        <f>S6</f>
        <v>30</v>
      </c>
      <c r="U6">
        <f>S6/S$30</f>
        <v>3.0000000000000001E-3</v>
      </c>
      <c r="V6">
        <f>T6/S$30</f>
        <v>3.0000000000000001E-3</v>
      </c>
      <c r="X6" s="6" t="s">
        <v>33</v>
      </c>
      <c r="Y6" s="6" t="s">
        <v>34</v>
      </c>
      <c r="Z6" s="6" t="s">
        <v>35</v>
      </c>
      <c r="AA6" s="6" t="s">
        <v>36</v>
      </c>
      <c r="AB6" s="6" t="s">
        <v>37</v>
      </c>
      <c r="AI6" t="s">
        <v>38</v>
      </c>
      <c r="AJ6" s="15">
        <f>COUNT(A3:A14)</f>
        <v>12</v>
      </c>
      <c r="AK6" s="16">
        <f>COUNT(B3:B14)</f>
        <v>12</v>
      </c>
      <c r="AO6" t="s">
        <v>39</v>
      </c>
      <c r="AP6" t="e">
        <f ca="1">SHAPIRO(A3:A14)</f>
        <v>#NAME?</v>
      </c>
      <c r="AQ6" t="e">
        <f ca="1">SHAPIRO(B3:B14)</f>
        <v>#NAME?</v>
      </c>
    </row>
    <row r="7" spans="1:43" x14ac:dyDescent="0.35">
      <c r="A7">
        <v>11</v>
      </c>
      <c r="B7">
        <v>71</v>
      </c>
      <c r="D7">
        <f>D6+2</f>
        <v>-6</v>
      </c>
      <c r="E7">
        <v>5</v>
      </c>
      <c r="F7">
        <f>F6+E7</f>
        <v>6</v>
      </c>
      <c r="G7">
        <f t="shared" ref="G7:G29" si="0">E7/E$30</f>
        <v>2.5000000000000001E-3</v>
      </c>
      <c r="H7">
        <f t="shared" ref="H7:H29" si="1">F7/E$30</f>
        <v>3.0000000000000001E-3</v>
      </c>
      <c r="R7">
        <f>R6+2</f>
        <v>-20</v>
      </c>
      <c r="S7">
        <v>39</v>
      </c>
      <c r="T7">
        <f>T6+S7</f>
        <v>69</v>
      </c>
      <c r="U7">
        <f t="shared" ref="U7:U29" si="2">S7/S$30</f>
        <v>3.8999999999999998E-3</v>
      </c>
      <c r="V7">
        <f t="shared" ref="V7:V29" si="3">T7/S$30</f>
        <v>6.8999999999999999E-3</v>
      </c>
      <c r="X7" t="s">
        <v>31</v>
      </c>
      <c r="Y7">
        <f>COUNT(A3:A14)</f>
        <v>12</v>
      </c>
      <c r="Z7">
        <f>AVERAGE(A3:A14)</f>
        <v>44.25</v>
      </c>
      <c r="AA7">
        <f>VAR(A3:A14)</f>
        <v>427.29545454545456</v>
      </c>
      <c r="AI7" t="s">
        <v>40</v>
      </c>
      <c r="AJ7" s="17">
        <f>MEDIAN(A3:A14)</f>
        <v>44.5</v>
      </c>
      <c r="AK7" s="18">
        <f>MEDIAN(B3:B14)</f>
        <v>24.5</v>
      </c>
      <c r="AO7" t="s">
        <v>20</v>
      </c>
      <c r="AP7" t="e">
        <f ca="1">SWTEST(A3:A14)</f>
        <v>#NAME?</v>
      </c>
      <c r="AQ7" t="e">
        <f ca="1">SWTEST(B3:B14)</f>
        <v>#NAME?</v>
      </c>
    </row>
    <row r="8" spans="1:43" x14ac:dyDescent="0.35">
      <c r="A8">
        <v>55</v>
      </c>
      <c r="B8">
        <v>24</v>
      </c>
      <c r="D8">
        <f t="shared" ref="D8:D28" si="4">D7+2</f>
        <v>-4</v>
      </c>
      <c r="E8">
        <v>9</v>
      </c>
      <c r="F8">
        <f t="shared" ref="F8:F29" si="5">F7+E8</f>
        <v>15</v>
      </c>
      <c r="G8">
        <f t="shared" si="0"/>
        <v>4.4999999999999997E-3</v>
      </c>
      <c r="H8">
        <f t="shared" si="1"/>
        <v>7.4999999999999997E-3</v>
      </c>
      <c r="R8">
        <f t="shared" ref="R8:R28" si="6">R7+2</f>
        <v>-18</v>
      </c>
      <c r="S8">
        <v>65</v>
      </c>
      <c r="T8">
        <f t="shared" ref="T8:T29" si="7">T7+S8</f>
        <v>134</v>
      </c>
      <c r="U8">
        <f t="shared" si="2"/>
        <v>6.4999999999999997E-3</v>
      </c>
      <c r="V8">
        <f t="shared" si="3"/>
        <v>1.34E-2</v>
      </c>
      <c r="X8" t="s">
        <v>32</v>
      </c>
      <c r="Y8">
        <f>COUNT(B3:B14)</f>
        <v>12</v>
      </c>
      <c r="Z8">
        <f>AVERAGE(B3:B14)</f>
        <v>29.5</v>
      </c>
      <c r="AA8">
        <f>VAR(B3:B14)</f>
        <v>299.18181818181819</v>
      </c>
      <c r="AI8" t="s">
        <v>41</v>
      </c>
      <c r="AJ8" s="17" t="e">
        <f ca="1">RANK_SUM(A3:A14,B3:B14,1)</f>
        <v>#NAME?</v>
      </c>
      <c r="AK8" s="18" t="e">
        <f ca="1">RANK_SUM(B3:B14,A3:A14,1)</f>
        <v>#NAME?</v>
      </c>
      <c r="AO8" t="s">
        <v>12</v>
      </c>
      <c r="AP8">
        <v>0.05</v>
      </c>
      <c r="AQ8">
        <v>0.05</v>
      </c>
    </row>
    <row r="9" spans="1:43" x14ac:dyDescent="0.35">
      <c r="A9">
        <v>31</v>
      </c>
      <c r="B9">
        <v>50</v>
      </c>
      <c r="D9">
        <f t="shared" si="4"/>
        <v>-2</v>
      </c>
      <c r="E9">
        <v>14</v>
      </c>
      <c r="F9">
        <f t="shared" si="5"/>
        <v>29</v>
      </c>
      <c r="G9">
        <f t="shared" si="0"/>
        <v>7.0000000000000001E-3</v>
      </c>
      <c r="H9">
        <f t="shared" si="1"/>
        <v>1.4500000000000001E-2</v>
      </c>
      <c r="R9">
        <f t="shared" si="6"/>
        <v>-16</v>
      </c>
      <c r="S9">
        <v>120</v>
      </c>
      <c r="T9">
        <f t="shared" si="7"/>
        <v>254</v>
      </c>
      <c r="U9">
        <f t="shared" si="2"/>
        <v>1.2E-2</v>
      </c>
      <c r="V9">
        <f t="shared" si="3"/>
        <v>2.5399999999999999E-2</v>
      </c>
      <c r="X9" s="13" t="s">
        <v>42</v>
      </c>
      <c r="Y9" s="13"/>
      <c r="Z9" s="13"/>
      <c r="AA9" s="13">
        <f>((Y7-1)*AA7+(Y8-1)*AA8)/(Y7+Y8-2)</f>
        <v>363.23863636363637</v>
      </c>
      <c r="AB9" s="13">
        <f>ABS(Z7-Z8-AB5)/SQRT(AA9)</f>
        <v>0.77391987875149726</v>
      </c>
      <c r="AI9" t="s">
        <v>43</v>
      </c>
      <c r="AJ9" s="19" t="e">
        <f ca="1">AJ6*AK6+AJ6*(AJ6+1)/2-AJ8</f>
        <v>#NAME?</v>
      </c>
      <c r="AK9" s="20" t="e">
        <f ca="1">AJ6*AK6+AK6*(AK6+1)/2-AK8</f>
        <v>#NAME?</v>
      </c>
      <c r="AO9" s="7" t="s">
        <v>44</v>
      </c>
      <c r="AP9" s="21" t="e">
        <f ca="1">IF(AP7&lt;AP8,"no","yes")</f>
        <v>#NAME?</v>
      </c>
      <c r="AQ9" s="21" t="e">
        <f ca="1">IF(AQ7&lt;AQ8,"no","yes")</f>
        <v>#NAME?</v>
      </c>
    </row>
    <row r="10" spans="1:43" x14ac:dyDescent="0.35">
      <c r="A10">
        <v>46</v>
      </c>
      <c r="B10">
        <v>12</v>
      </c>
      <c r="D10">
        <f t="shared" si="4"/>
        <v>0</v>
      </c>
      <c r="E10">
        <v>24</v>
      </c>
      <c r="F10">
        <f t="shared" si="5"/>
        <v>53</v>
      </c>
      <c r="G10">
        <f t="shared" si="0"/>
        <v>1.2E-2</v>
      </c>
      <c r="H10">
        <f t="shared" si="1"/>
        <v>2.6499999999999999E-2</v>
      </c>
      <c r="R10">
        <f t="shared" si="6"/>
        <v>-14</v>
      </c>
      <c r="S10">
        <v>216</v>
      </c>
      <c r="T10">
        <f t="shared" si="7"/>
        <v>470</v>
      </c>
      <c r="U10">
        <f t="shared" si="2"/>
        <v>2.1600000000000001E-2</v>
      </c>
      <c r="V10">
        <f t="shared" si="3"/>
        <v>4.7E-2</v>
      </c>
    </row>
    <row r="11" spans="1:43" ht="15" thickBot="1" x14ac:dyDescent="0.4">
      <c r="A11">
        <v>67</v>
      </c>
      <c r="B11">
        <v>14</v>
      </c>
      <c r="D11">
        <f t="shared" si="4"/>
        <v>2</v>
      </c>
      <c r="E11">
        <v>43</v>
      </c>
      <c r="F11">
        <f t="shared" si="5"/>
        <v>96</v>
      </c>
      <c r="G11">
        <f t="shared" si="0"/>
        <v>2.1499999999999998E-2</v>
      </c>
      <c r="H11">
        <f t="shared" si="1"/>
        <v>4.8000000000000001E-2</v>
      </c>
      <c r="R11">
        <f t="shared" si="6"/>
        <v>-12</v>
      </c>
      <c r="S11">
        <v>322</v>
      </c>
      <c r="T11">
        <f t="shared" si="7"/>
        <v>792</v>
      </c>
      <c r="U11">
        <f t="shared" si="2"/>
        <v>3.2199999999999999E-2</v>
      </c>
      <c r="V11">
        <f t="shared" si="3"/>
        <v>7.9200000000000007E-2</v>
      </c>
      <c r="X11" t="s">
        <v>45</v>
      </c>
      <c r="AB11" t="s">
        <v>46</v>
      </c>
      <c r="AC11">
        <v>0.05</v>
      </c>
      <c r="AJ11" s="22" t="s">
        <v>47</v>
      </c>
      <c r="AK11" s="22" t="s">
        <v>48</v>
      </c>
    </row>
    <row r="12" spans="1:43" ht="15" thickTop="1" x14ac:dyDescent="0.35">
      <c r="A12">
        <v>28</v>
      </c>
      <c r="B12">
        <v>23</v>
      </c>
      <c r="D12">
        <f t="shared" si="4"/>
        <v>4</v>
      </c>
      <c r="E12">
        <v>49</v>
      </c>
      <c r="F12">
        <f t="shared" si="5"/>
        <v>145</v>
      </c>
      <c r="G12">
        <f t="shared" si="0"/>
        <v>2.4500000000000001E-2</v>
      </c>
      <c r="H12">
        <f t="shared" si="1"/>
        <v>7.2499999999999995E-2</v>
      </c>
      <c r="R12">
        <f t="shared" si="6"/>
        <v>-10</v>
      </c>
      <c r="S12">
        <v>420</v>
      </c>
      <c r="T12">
        <f t="shared" si="7"/>
        <v>1212</v>
      </c>
      <c r="U12">
        <f t="shared" si="2"/>
        <v>4.2000000000000003E-2</v>
      </c>
      <c r="V12">
        <f t="shared" si="3"/>
        <v>0.1212</v>
      </c>
      <c r="X12" s="6" t="s">
        <v>49</v>
      </c>
      <c r="Y12" s="6" t="s">
        <v>50</v>
      </c>
      <c r="Z12" s="6" t="s">
        <v>51</v>
      </c>
      <c r="AA12" s="6" t="s">
        <v>52</v>
      </c>
      <c r="AB12" s="6" t="s">
        <v>20</v>
      </c>
      <c r="AC12" s="6" t="s">
        <v>53</v>
      </c>
      <c r="AD12" s="6" t="s">
        <v>17</v>
      </c>
      <c r="AE12" s="6" t="s">
        <v>19</v>
      </c>
      <c r="AF12" s="6" t="s">
        <v>54</v>
      </c>
      <c r="AG12" s="6" t="s">
        <v>55</v>
      </c>
      <c r="AI12" t="s">
        <v>12</v>
      </c>
      <c r="AJ12" s="8">
        <v>0.05</v>
      </c>
    </row>
    <row r="13" spans="1:43" x14ac:dyDescent="0.35">
      <c r="A13">
        <v>63</v>
      </c>
      <c r="B13">
        <v>25</v>
      </c>
      <c r="D13">
        <f t="shared" si="4"/>
        <v>6</v>
      </c>
      <c r="E13">
        <v>83</v>
      </c>
      <c r="F13">
        <f t="shared" si="5"/>
        <v>228</v>
      </c>
      <c r="G13">
        <f t="shared" si="0"/>
        <v>4.1500000000000002E-2</v>
      </c>
      <c r="H13">
        <f t="shared" si="1"/>
        <v>0.114</v>
      </c>
      <c r="R13">
        <f t="shared" si="6"/>
        <v>-8</v>
      </c>
      <c r="S13">
        <v>570</v>
      </c>
      <c r="T13">
        <f t="shared" si="7"/>
        <v>1782</v>
      </c>
      <c r="U13">
        <f t="shared" si="2"/>
        <v>5.7000000000000002E-2</v>
      </c>
      <c r="V13">
        <f t="shared" si="3"/>
        <v>0.1782</v>
      </c>
      <c r="X13" t="s">
        <v>56</v>
      </c>
      <c r="Y13">
        <f>SQRT(AA9*(1/Y7+1/Y8))</f>
        <v>7.780730860740058</v>
      </c>
      <c r="Z13">
        <f>(ABS(Z7-Z8-AB5))/Y13</f>
        <v>1.8957088047377937</v>
      </c>
      <c r="AA13">
        <f>Y7+Y8-2</f>
        <v>22</v>
      </c>
      <c r="AB13">
        <f>TDIST(Z13,AA13,1)</f>
        <v>3.5605745563045306E-2</v>
      </c>
      <c r="AC13">
        <f>TINV(AC11*2,AA13)</f>
        <v>1.7171443743802424</v>
      </c>
      <c r="AF13" s="23" t="str">
        <f>IF(AB13&lt;AC11,"yes","no")</f>
        <v>yes</v>
      </c>
      <c r="AG13">
        <f>SQRT(Z13^2/(Z13^2+AA13))</f>
        <v>0.37471837407378444</v>
      </c>
      <c r="AI13" t="s">
        <v>43</v>
      </c>
      <c r="AJ13" s="9" t="e">
        <f ca="1">MIN(AJ9,AK9)</f>
        <v>#NAME?</v>
      </c>
    </row>
    <row r="14" spans="1:43" x14ac:dyDescent="0.35">
      <c r="A14" s="7">
        <v>43</v>
      </c>
      <c r="B14" s="7">
        <v>42</v>
      </c>
      <c r="D14">
        <f t="shared" si="4"/>
        <v>8</v>
      </c>
      <c r="E14">
        <v>136</v>
      </c>
      <c r="F14">
        <f t="shared" si="5"/>
        <v>364</v>
      </c>
      <c r="G14">
        <f t="shared" si="0"/>
        <v>6.8000000000000005E-2</v>
      </c>
      <c r="H14">
        <f t="shared" si="1"/>
        <v>0.182</v>
      </c>
      <c r="R14">
        <f t="shared" si="6"/>
        <v>-6</v>
      </c>
      <c r="S14">
        <v>669</v>
      </c>
      <c r="T14">
        <f t="shared" si="7"/>
        <v>2451</v>
      </c>
      <c r="U14">
        <f t="shared" si="2"/>
        <v>6.6900000000000001E-2</v>
      </c>
      <c r="V14">
        <f t="shared" si="3"/>
        <v>0.24510000000000001</v>
      </c>
      <c r="X14" t="s">
        <v>57</v>
      </c>
      <c r="Y14">
        <f>Y13</f>
        <v>7.780730860740058</v>
      </c>
      <c r="Z14">
        <f>Z13</f>
        <v>1.8957088047377937</v>
      </c>
      <c r="AA14">
        <f>AA13</f>
        <v>22</v>
      </c>
      <c r="AB14">
        <f>TDIST(Z14,AA14,2)</f>
        <v>7.1211491126090612E-2</v>
      </c>
      <c r="AC14">
        <f>TINV(AC11,AA14)</f>
        <v>2.0738730679040258</v>
      </c>
      <c r="AD14">
        <f>(Z7-Z8)-AC14*Y14</f>
        <v>-1.3862481806985159</v>
      </c>
      <c r="AE14">
        <f>(Z7-Z8)+AC14*Y14</f>
        <v>30.886248180698516</v>
      </c>
      <c r="AF14" s="23" t="str">
        <f>IF(AB14&lt;AC11,"yes","no")</f>
        <v>no</v>
      </c>
      <c r="AG14">
        <f>AG13</f>
        <v>0.37471837407378444</v>
      </c>
      <c r="AI14" t="s">
        <v>13</v>
      </c>
      <c r="AJ14" s="9">
        <f>AJ6*AK6/2</f>
        <v>72</v>
      </c>
    </row>
    <row r="15" spans="1:43" x14ac:dyDescent="0.35">
      <c r="D15">
        <f t="shared" si="4"/>
        <v>10</v>
      </c>
      <c r="E15">
        <v>156</v>
      </c>
      <c r="F15">
        <f t="shared" si="5"/>
        <v>520</v>
      </c>
      <c r="G15">
        <f t="shared" si="0"/>
        <v>7.8E-2</v>
      </c>
      <c r="H15">
        <f t="shared" si="1"/>
        <v>0.26</v>
      </c>
      <c r="R15">
        <f t="shared" si="6"/>
        <v>-4</v>
      </c>
      <c r="S15">
        <v>779</v>
      </c>
      <c r="T15">
        <f t="shared" si="7"/>
        <v>3230</v>
      </c>
      <c r="U15">
        <f t="shared" si="2"/>
        <v>7.7899999999999997E-2</v>
      </c>
      <c r="V15">
        <f t="shared" si="3"/>
        <v>0.32300000000000001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I15" t="s">
        <v>58</v>
      </c>
      <c r="AJ15" s="9" t="e">
        <f ca="1">SQRT(AJ14*((AJ6+AK6)^3-(AJ6+AK6)-TiesCorrection(A3:A14,B3:B14,2))/(6*((AJ6+AK6)^2-(AJ6+AK6))))</f>
        <v>#NAME?</v>
      </c>
    </row>
    <row r="16" spans="1:43" ht="15" thickBot="1" x14ac:dyDescent="0.4">
      <c r="D16">
        <f t="shared" si="4"/>
        <v>12</v>
      </c>
      <c r="E16">
        <v>187</v>
      </c>
      <c r="F16">
        <f t="shared" si="5"/>
        <v>707</v>
      </c>
      <c r="G16">
        <f t="shared" si="0"/>
        <v>9.35E-2</v>
      </c>
      <c r="H16">
        <f t="shared" si="1"/>
        <v>0.35349999999999998</v>
      </c>
      <c r="R16">
        <f t="shared" si="6"/>
        <v>-2</v>
      </c>
      <c r="S16">
        <v>885</v>
      </c>
      <c r="T16">
        <f t="shared" si="7"/>
        <v>4115</v>
      </c>
      <c r="U16">
        <f t="shared" si="2"/>
        <v>8.8499999999999995E-2</v>
      </c>
      <c r="V16">
        <f t="shared" si="3"/>
        <v>0.41149999999999998</v>
      </c>
      <c r="X16" t="s">
        <v>59</v>
      </c>
      <c r="AB16" t="s">
        <v>46</v>
      </c>
      <c r="AC16">
        <f>AC11</f>
        <v>0.05</v>
      </c>
      <c r="AI16" t="s">
        <v>60</v>
      </c>
      <c r="AJ16" s="9" t="e">
        <f ca="1">STANDARDIZE(AJ13,AJ14,AJ15)</f>
        <v>#NAME?</v>
      </c>
    </row>
    <row r="17" spans="4:37" ht="15" thickTop="1" x14ac:dyDescent="0.35">
      <c r="D17">
        <f t="shared" si="4"/>
        <v>14</v>
      </c>
      <c r="E17">
        <v>227</v>
      </c>
      <c r="F17">
        <f t="shared" si="5"/>
        <v>934</v>
      </c>
      <c r="G17">
        <f t="shared" si="0"/>
        <v>0.1135</v>
      </c>
      <c r="H17">
        <f t="shared" si="1"/>
        <v>0.46700000000000003</v>
      </c>
      <c r="R17">
        <f t="shared" si="6"/>
        <v>0</v>
      </c>
      <c r="S17">
        <v>952</v>
      </c>
      <c r="T17">
        <f t="shared" si="7"/>
        <v>5067</v>
      </c>
      <c r="U17">
        <f t="shared" si="2"/>
        <v>9.5200000000000007E-2</v>
      </c>
      <c r="V17">
        <f t="shared" si="3"/>
        <v>0.50670000000000004</v>
      </c>
      <c r="X17" s="6" t="s">
        <v>49</v>
      </c>
      <c r="Y17" s="6" t="s">
        <v>50</v>
      </c>
      <c r="Z17" s="6" t="s">
        <v>51</v>
      </c>
      <c r="AA17" s="6" t="s">
        <v>52</v>
      </c>
      <c r="AB17" s="6" t="s">
        <v>20</v>
      </c>
      <c r="AC17" s="6" t="s">
        <v>53</v>
      </c>
      <c r="AD17" s="6" t="s">
        <v>17</v>
      </c>
      <c r="AE17" s="6" t="s">
        <v>19</v>
      </c>
      <c r="AF17" s="6" t="s">
        <v>54</v>
      </c>
      <c r="AG17" s="6" t="s">
        <v>55</v>
      </c>
      <c r="AI17" t="s">
        <v>55</v>
      </c>
      <c r="AJ17" s="9" t="e">
        <f ca="1">ABS(AJ16)/SQRT(AJ6+AK6)</f>
        <v>#NAME?</v>
      </c>
    </row>
    <row r="18" spans="4:37" x14ac:dyDescent="0.35">
      <c r="D18">
        <f t="shared" si="4"/>
        <v>16</v>
      </c>
      <c r="E18">
        <v>200</v>
      </c>
      <c r="F18">
        <f t="shared" si="5"/>
        <v>1134</v>
      </c>
      <c r="G18">
        <f t="shared" si="0"/>
        <v>0.1</v>
      </c>
      <c r="H18">
        <f t="shared" si="1"/>
        <v>0.56699999999999995</v>
      </c>
      <c r="R18">
        <f t="shared" si="6"/>
        <v>2</v>
      </c>
      <c r="S18">
        <v>902</v>
      </c>
      <c r="T18">
        <f t="shared" si="7"/>
        <v>5969</v>
      </c>
      <c r="U18">
        <f t="shared" si="2"/>
        <v>9.0200000000000002E-2</v>
      </c>
      <c r="V18">
        <f t="shared" si="3"/>
        <v>0.59689999999999999</v>
      </c>
      <c r="X18" t="s">
        <v>56</v>
      </c>
      <c r="Y18">
        <f>SQRT(AA7/Y7+AA8/Y8)</f>
        <v>7.7807308607400589</v>
      </c>
      <c r="Z18">
        <f>(ABS(Z7-Z8-AB5))/Y18</f>
        <v>1.8957088047377935</v>
      </c>
      <c r="AA18">
        <f>(AA7/Y7+AA8/Y8)^2/((AA7/Y7)^2/(Y7-1)+(AA8/Y8)^2/(Y8-1))</f>
        <v>21.336457170482621</v>
      </c>
      <c r="AB18">
        <f>TTEST(A3:A14,B3:B14,1,3)</f>
        <v>3.581267073076963E-2</v>
      </c>
      <c r="AC18">
        <f>TINV(AC16*2,ROUND(AA18,0))</f>
        <v>1.7207429028118781</v>
      </c>
      <c r="AF18" s="23" t="str">
        <f>IF(AB18&lt;AC16,"yes","no")</f>
        <v>yes</v>
      </c>
      <c r="AG18">
        <f>SQRT(Z18^2/(Z18^2+AA18))</f>
        <v>0.3796723894769205</v>
      </c>
      <c r="AI18" t="s">
        <v>61</v>
      </c>
      <c r="AJ18" s="8" t="e">
        <f ca="1">AJ14+AJ15*NORMSINV(AJ12)-0.5</f>
        <v>#NAME?</v>
      </c>
      <c r="AK18" s="16" t="e">
        <f ca="1">AJ14+AJ15*NORMSINV(AJ12/2)-0.5</f>
        <v>#NAME?</v>
      </c>
    </row>
    <row r="19" spans="4:37" x14ac:dyDescent="0.35">
      <c r="D19">
        <f t="shared" si="4"/>
        <v>18</v>
      </c>
      <c r="E19">
        <v>191</v>
      </c>
      <c r="F19">
        <f t="shared" si="5"/>
        <v>1325</v>
      </c>
      <c r="G19">
        <f t="shared" si="0"/>
        <v>9.5500000000000002E-2</v>
      </c>
      <c r="H19">
        <f t="shared" si="1"/>
        <v>0.66249999999999998</v>
      </c>
      <c r="R19">
        <f t="shared" si="6"/>
        <v>4</v>
      </c>
      <c r="S19">
        <v>894</v>
      </c>
      <c r="T19">
        <f t="shared" si="7"/>
        <v>6863</v>
      </c>
      <c r="U19">
        <f t="shared" si="2"/>
        <v>8.9399999999999993E-2</v>
      </c>
      <c r="V19">
        <f t="shared" si="3"/>
        <v>0.68630000000000002</v>
      </c>
      <c r="X19" t="s">
        <v>57</v>
      </c>
      <c r="Y19">
        <f>Y18</f>
        <v>7.7807308607400589</v>
      </c>
      <c r="Z19">
        <f>Z18</f>
        <v>1.8957088047377935</v>
      </c>
      <c r="AA19">
        <f>AA18</f>
        <v>21.336457170482621</v>
      </c>
      <c r="AB19">
        <f>TTEST(A3:A14,B3:B14,2,3)</f>
        <v>7.162534146153926E-2</v>
      </c>
      <c r="AC19">
        <f>TINV(AC16,ROUND(AA19,0))</f>
        <v>2.07961384472768</v>
      </c>
      <c r="AD19">
        <f>(Z7-Z8)-AC19*Y19</f>
        <v>-1.4309156200949431</v>
      </c>
      <c r="AE19">
        <f>(Z7-Z8)+AC19*Y19</f>
        <v>30.930915620094943</v>
      </c>
      <c r="AF19" s="23" t="str">
        <f>IF(AB19&lt;AC16,"yes","no")</f>
        <v>no</v>
      </c>
      <c r="AG19">
        <f>AG18</f>
        <v>0.3796723894769205</v>
      </c>
      <c r="AI19" t="s">
        <v>20</v>
      </c>
      <c r="AJ19" s="9" t="e">
        <f ca="1">NORMSDIST(AJ16)</f>
        <v>#NAME?</v>
      </c>
      <c r="AK19" s="18" t="e">
        <f ca="1">2*AJ19</f>
        <v>#NAME?</v>
      </c>
    </row>
    <row r="20" spans="4:37" x14ac:dyDescent="0.35">
      <c r="D20">
        <f t="shared" si="4"/>
        <v>20</v>
      </c>
      <c r="E20">
        <v>196</v>
      </c>
      <c r="F20">
        <f t="shared" si="5"/>
        <v>1521</v>
      </c>
      <c r="G20">
        <f t="shared" si="0"/>
        <v>9.8000000000000004E-2</v>
      </c>
      <c r="H20">
        <f t="shared" si="1"/>
        <v>0.76049999999999995</v>
      </c>
      <c r="R20">
        <f t="shared" si="6"/>
        <v>6</v>
      </c>
      <c r="S20">
        <v>777</v>
      </c>
      <c r="T20">
        <f t="shared" si="7"/>
        <v>7640</v>
      </c>
      <c r="U20">
        <f t="shared" si="2"/>
        <v>7.7700000000000005E-2</v>
      </c>
      <c r="V20">
        <f t="shared" si="3"/>
        <v>0.76400000000000001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I20" t="s">
        <v>54</v>
      </c>
      <c r="AJ20" s="24" t="e">
        <f ca="1">IF(AJ19&lt;AJ12,"yes","no")</f>
        <v>#NAME?</v>
      </c>
      <c r="AK20" s="25" t="e">
        <f ca="1">IF(AK19&lt;AJ12,"yes","no")</f>
        <v>#NAME?</v>
      </c>
    </row>
    <row r="21" spans="4:37" x14ac:dyDescent="0.35">
      <c r="D21">
        <f t="shared" si="4"/>
        <v>22</v>
      </c>
      <c r="E21">
        <v>154</v>
      </c>
      <c r="F21">
        <f t="shared" si="5"/>
        <v>1675</v>
      </c>
      <c r="G21">
        <f t="shared" si="0"/>
        <v>7.6999999999999999E-2</v>
      </c>
      <c r="H21">
        <f t="shared" si="1"/>
        <v>0.83750000000000002</v>
      </c>
      <c r="R21">
        <f t="shared" si="6"/>
        <v>8</v>
      </c>
      <c r="S21">
        <v>644</v>
      </c>
      <c r="T21">
        <f t="shared" si="7"/>
        <v>8284</v>
      </c>
      <c r="U21">
        <f t="shared" si="2"/>
        <v>6.4399999999999999E-2</v>
      </c>
      <c r="V21">
        <f t="shared" si="3"/>
        <v>0.82840000000000003</v>
      </c>
    </row>
    <row r="22" spans="4:37" x14ac:dyDescent="0.35">
      <c r="D22">
        <f t="shared" si="4"/>
        <v>24</v>
      </c>
      <c r="E22">
        <v>105</v>
      </c>
      <c r="F22">
        <f t="shared" si="5"/>
        <v>1780</v>
      </c>
      <c r="G22">
        <f t="shared" si="0"/>
        <v>5.2499999999999998E-2</v>
      </c>
      <c r="H22">
        <f t="shared" si="1"/>
        <v>0.89</v>
      </c>
      <c r="R22">
        <f t="shared" si="6"/>
        <v>10</v>
      </c>
      <c r="S22">
        <v>553</v>
      </c>
      <c r="T22">
        <f t="shared" si="7"/>
        <v>8837</v>
      </c>
      <c r="U22">
        <f t="shared" si="2"/>
        <v>5.5300000000000002E-2</v>
      </c>
      <c r="V22">
        <f t="shared" si="3"/>
        <v>0.88370000000000004</v>
      </c>
      <c r="AI22" t="s">
        <v>61</v>
      </c>
      <c r="AJ22" s="8" t="e">
        <f ca="1">MCRIT(AJ6,AK6,AJ12,1)</f>
        <v>#NAME?</v>
      </c>
      <c r="AK22" s="8" t="e">
        <f ca="1">MCRIT(AJ6,AK6,AJ12,2)</f>
        <v>#NAME?</v>
      </c>
    </row>
    <row r="23" spans="4:37" x14ac:dyDescent="0.35">
      <c r="D23">
        <f t="shared" si="4"/>
        <v>26</v>
      </c>
      <c r="E23">
        <v>73</v>
      </c>
      <c r="F23">
        <f t="shared" si="5"/>
        <v>1853</v>
      </c>
      <c r="G23">
        <f t="shared" si="0"/>
        <v>3.6499999999999998E-2</v>
      </c>
      <c r="H23">
        <f t="shared" si="1"/>
        <v>0.92649999999999999</v>
      </c>
      <c r="R23">
        <f t="shared" si="6"/>
        <v>12</v>
      </c>
      <c r="S23">
        <v>420</v>
      </c>
      <c r="T23">
        <f t="shared" si="7"/>
        <v>9257</v>
      </c>
      <c r="U23">
        <f t="shared" si="2"/>
        <v>4.2000000000000003E-2</v>
      </c>
      <c r="V23">
        <f t="shared" si="3"/>
        <v>0.92569999999999997</v>
      </c>
      <c r="AI23" t="s">
        <v>62</v>
      </c>
      <c r="AJ23" s="24" t="e">
        <f ca="1">IF(AJ13&lt;AJ22,"yes","no")</f>
        <v>#NAME?</v>
      </c>
      <c r="AK23" s="24" t="e">
        <f ca="1">IF(AJ13&lt;AK22,"yes","no")</f>
        <v>#NAME?</v>
      </c>
    </row>
    <row r="24" spans="4:37" x14ac:dyDescent="0.35">
      <c r="D24">
        <f t="shared" si="4"/>
        <v>28</v>
      </c>
      <c r="E24">
        <v>63</v>
      </c>
      <c r="F24">
        <f t="shared" si="5"/>
        <v>1916</v>
      </c>
      <c r="G24">
        <f t="shared" si="0"/>
        <v>3.15E-2</v>
      </c>
      <c r="H24">
        <f t="shared" si="1"/>
        <v>0.95799999999999996</v>
      </c>
      <c r="R24">
        <f t="shared" si="6"/>
        <v>14</v>
      </c>
      <c r="S24">
        <v>312</v>
      </c>
      <c r="T24">
        <f t="shared" si="7"/>
        <v>9569</v>
      </c>
      <c r="U24">
        <f t="shared" si="2"/>
        <v>3.1199999999999999E-2</v>
      </c>
      <c r="V24">
        <f t="shared" si="3"/>
        <v>0.95689999999999997</v>
      </c>
    </row>
    <row r="25" spans="4:37" x14ac:dyDescent="0.35">
      <c r="D25">
        <f t="shared" si="4"/>
        <v>30</v>
      </c>
      <c r="E25">
        <v>48</v>
      </c>
      <c r="F25">
        <f t="shared" si="5"/>
        <v>1964</v>
      </c>
      <c r="G25">
        <f t="shared" si="0"/>
        <v>2.4E-2</v>
      </c>
      <c r="H25">
        <f t="shared" si="1"/>
        <v>0.98199999999999998</v>
      </c>
      <c r="R25">
        <f t="shared" si="6"/>
        <v>16</v>
      </c>
      <c r="S25">
        <v>198</v>
      </c>
      <c r="T25">
        <f t="shared" si="7"/>
        <v>9767</v>
      </c>
      <c r="U25">
        <f t="shared" si="2"/>
        <v>1.9800000000000002E-2</v>
      </c>
      <c r="V25">
        <f t="shared" si="3"/>
        <v>0.97670000000000001</v>
      </c>
    </row>
    <row r="26" spans="4:37" x14ac:dyDescent="0.35">
      <c r="D26">
        <f t="shared" si="4"/>
        <v>32</v>
      </c>
      <c r="E26">
        <v>20</v>
      </c>
      <c r="F26">
        <f t="shared" si="5"/>
        <v>1984</v>
      </c>
      <c r="G26">
        <f t="shared" si="0"/>
        <v>0.01</v>
      </c>
      <c r="H26">
        <f t="shared" si="1"/>
        <v>0.99199999999999999</v>
      </c>
      <c r="R26">
        <f t="shared" si="6"/>
        <v>18</v>
      </c>
      <c r="S26">
        <v>113</v>
      </c>
      <c r="T26">
        <f t="shared" si="7"/>
        <v>9880</v>
      </c>
      <c r="U26">
        <f t="shared" si="2"/>
        <v>1.1299999999999999E-2</v>
      </c>
      <c r="V26">
        <f t="shared" si="3"/>
        <v>0.98799999999999999</v>
      </c>
    </row>
    <row r="27" spans="4:37" x14ac:dyDescent="0.35">
      <c r="D27">
        <f t="shared" si="4"/>
        <v>34</v>
      </c>
      <c r="E27">
        <v>11</v>
      </c>
      <c r="F27">
        <f t="shared" si="5"/>
        <v>1995</v>
      </c>
      <c r="G27">
        <f t="shared" si="0"/>
        <v>5.4999999999999997E-3</v>
      </c>
      <c r="H27">
        <f t="shared" si="1"/>
        <v>0.99750000000000005</v>
      </c>
      <c r="R27">
        <f t="shared" si="6"/>
        <v>20</v>
      </c>
      <c r="S27">
        <v>71</v>
      </c>
      <c r="T27">
        <f t="shared" si="7"/>
        <v>9951</v>
      </c>
      <c r="U27">
        <f t="shared" si="2"/>
        <v>7.1000000000000004E-3</v>
      </c>
      <c r="V27">
        <f t="shared" si="3"/>
        <v>0.99509999999999998</v>
      </c>
    </row>
    <row r="28" spans="4:37" x14ac:dyDescent="0.35">
      <c r="D28">
        <f t="shared" si="4"/>
        <v>36</v>
      </c>
      <c r="E28">
        <v>4</v>
      </c>
      <c r="F28">
        <f t="shared" si="5"/>
        <v>1999</v>
      </c>
      <c r="G28">
        <f t="shared" si="0"/>
        <v>2E-3</v>
      </c>
      <c r="H28">
        <f t="shared" si="1"/>
        <v>0.99950000000000006</v>
      </c>
      <c r="R28">
        <f t="shared" si="6"/>
        <v>22</v>
      </c>
      <c r="S28">
        <v>27</v>
      </c>
      <c r="T28">
        <f t="shared" si="7"/>
        <v>9978</v>
      </c>
      <c r="U28">
        <f t="shared" si="2"/>
        <v>2.7000000000000001E-3</v>
      </c>
      <c r="V28">
        <f t="shared" si="3"/>
        <v>0.99780000000000002</v>
      </c>
    </row>
    <row r="29" spans="4:37" x14ac:dyDescent="0.35">
      <c r="D29" s="7" t="s">
        <v>9</v>
      </c>
      <c r="E29" s="7">
        <v>1</v>
      </c>
      <c r="F29" s="7">
        <f t="shared" si="5"/>
        <v>2000</v>
      </c>
      <c r="G29" s="7">
        <f t="shared" si="0"/>
        <v>5.0000000000000001E-4</v>
      </c>
      <c r="H29" s="7">
        <f t="shared" si="1"/>
        <v>1</v>
      </c>
      <c r="R29" s="7" t="s">
        <v>9</v>
      </c>
      <c r="S29" s="7">
        <v>22</v>
      </c>
      <c r="T29" s="7">
        <f t="shared" si="7"/>
        <v>10000</v>
      </c>
      <c r="U29" s="7">
        <f t="shared" si="2"/>
        <v>2.2000000000000001E-3</v>
      </c>
      <c r="V29" s="7">
        <f t="shared" si="3"/>
        <v>1</v>
      </c>
    </row>
    <row r="30" spans="4:37" x14ac:dyDescent="0.35">
      <c r="E30">
        <f>SUM(E6:E29)</f>
        <v>2000</v>
      </c>
      <c r="S30">
        <f>SUM(S6:S29)</f>
        <v>10000</v>
      </c>
    </row>
    <row r="32" spans="4:37" x14ac:dyDescent="0.35">
      <c r="D32" t="s">
        <v>63</v>
      </c>
      <c r="R32" t="s">
        <v>63</v>
      </c>
    </row>
    <row r="34" spans="4:19" x14ac:dyDescent="0.35">
      <c r="D34" t="s">
        <v>12</v>
      </c>
      <c r="E34" s="8">
        <v>0.05</v>
      </c>
      <c r="R34" t="s">
        <v>12</v>
      </c>
      <c r="S34" s="8">
        <v>0.05</v>
      </c>
    </row>
    <row r="35" spans="4:19" x14ac:dyDescent="0.35">
      <c r="D35" t="s">
        <v>14</v>
      </c>
      <c r="E35" s="9">
        <v>14.75</v>
      </c>
      <c r="R35" t="s">
        <v>14</v>
      </c>
      <c r="S35" s="9">
        <v>14.75</v>
      </c>
    </row>
    <row r="36" spans="4:19" x14ac:dyDescent="0.35">
      <c r="D36" t="s">
        <v>16</v>
      </c>
      <c r="E36" s="9">
        <v>2.6499999999999999E-2</v>
      </c>
      <c r="R36" t="s">
        <v>16</v>
      </c>
      <c r="S36" s="9">
        <v>3.6400000000000002E-2</v>
      </c>
    </row>
    <row r="37" spans="4:19" x14ac:dyDescent="0.35">
      <c r="D37" t="s">
        <v>18</v>
      </c>
      <c r="E37" s="9">
        <v>2.1999999999999999E-2</v>
      </c>
      <c r="R37" t="s">
        <v>18</v>
      </c>
      <c r="S37" s="9">
        <v>3.5499999999999997E-2</v>
      </c>
    </row>
    <row r="38" spans="4:19" x14ac:dyDescent="0.35">
      <c r="D38" t="s">
        <v>20</v>
      </c>
      <c r="E38" s="12">
        <v>4.8500000000000001E-2</v>
      </c>
      <c r="R38" t="s">
        <v>20</v>
      </c>
      <c r="S38" s="12">
        <v>7.1900000000000006E-2</v>
      </c>
    </row>
    <row r="40" spans="4:19" x14ac:dyDescent="0.35">
      <c r="D40" t="s">
        <v>11</v>
      </c>
    </row>
    <row r="42" spans="4:19" x14ac:dyDescent="0.35">
      <c r="D42" t="s">
        <v>13</v>
      </c>
      <c r="E42" s="8">
        <v>14.779333333333327</v>
      </c>
    </row>
    <row r="43" spans="4:19" x14ac:dyDescent="0.35">
      <c r="D43" t="s">
        <v>15</v>
      </c>
      <c r="E43" s="9">
        <v>7.4765925725576992</v>
      </c>
    </row>
    <row r="44" spans="4:19" x14ac:dyDescent="0.35">
      <c r="D44" t="s">
        <v>17</v>
      </c>
      <c r="E44" s="9">
        <v>-0.5833333333333357</v>
      </c>
    </row>
    <row r="45" spans="4:19" x14ac:dyDescent="0.35">
      <c r="D45" t="s">
        <v>19</v>
      </c>
      <c r="E45" s="12">
        <v>29.25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E886-463C-4E7A-90AF-8C8C25701F8E}">
  <sheetPr codeName="Sheet403"/>
  <dimension ref="A1:X32"/>
  <sheetViews>
    <sheetView workbookViewId="0"/>
  </sheetViews>
  <sheetFormatPr defaultRowHeight="14.5" x14ac:dyDescent="0.35"/>
  <sheetData>
    <row r="1" spans="1:24" x14ac:dyDescent="0.35">
      <c r="A1" s="1" t="s">
        <v>64</v>
      </c>
    </row>
    <row r="3" spans="1:24" x14ac:dyDescent="0.35">
      <c r="A3" s="26" t="s">
        <v>65</v>
      </c>
      <c r="B3" s="26" t="s">
        <v>66</v>
      </c>
      <c r="C3" s="26" t="s">
        <v>67</v>
      </c>
      <c r="D3" s="26" t="s">
        <v>68</v>
      </c>
      <c r="F3" t="s">
        <v>69</v>
      </c>
      <c r="T3" t="s">
        <v>70</v>
      </c>
    </row>
    <row r="4" spans="1:24" ht="15" thickBot="1" x14ac:dyDescent="0.4">
      <c r="A4" s="23">
        <v>1</v>
      </c>
      <c r="B4" s="23">
        <v>50</v>
      </c>
      <c r="C4" s="23">
        <v>47</v>
      </c>
      <c r="D4" s="23">
        <f>B4-C4</f>
        <v>3</v>
      </c>
    </row>
    <row r="5" spans="1:24" ht="15" thickTop="1" x14ac:dyDescent="0.35">
      <c r="A5" s="23">
        <f>A4+1</f>
        <v>2</v>
      </c>
      <c r="B5" s="23">
        <v>45</v>
      </c>
      <c r="C5" s="23">
        <v>45</v>
      </c>
      <c r="D5" s="23">
        <f t="shared" ref="D5:D18" si="0">B5-C5</f>
        <v>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T5" s="6" t="s">
        <v>4</v>
      </c>
      <c r="U5" s="6" t="s">
        <v>5</v>
      </c>
      <c r="V5" s="6" t="s">
        <v>6</v>
      </c>
      <c r="W5" s="6" t="s">
        <v>7</v>
      </c>
      <c r="X5" s="6" t="s">
        <v>8</v>
      </c>
    </row>
    <row r="6" spans="1:24" x14ac:dyDescent="0.35">
      <c r="A6" s="23">
        <f t="shared" ref="A6:A18" si="1">A5+1</f>
        <v>3</v>
      </c>
      <c r="B6" s="23">
        <v>33</v>
      </c>
      <c r="C6" s="23">
        <v>31</v>
      </c>
      <c r="D6" s="23">
        <f t="shared" si="0"/>
        <v>2</v>
      </c>
      <c r="F6">
        <v>-4</v>
      </c>
      <c r="G6">
        <v>69</v>
      </c>
      <c r="H6">
        <f>G6</f>
        <v>69</v>
      </c>
      <c r="I6">
        <f>G6/G$16</f>
        <v>3.4500000000000003E-2</v>
      </c>
      <c r="J6">
        <f>H6/G$16</f>
        <v>3.4500000000000003E-2</v>
      </c>
      <c r="T6">
        <v>-6</v>
      </c>
      <c r="U6">
        <v>0</v>
      </c>
      <c r="V6">
        <f>U6</f>
        <v>0</v>
      </c>
      <c r="W6">
        <f>U6/U$17</f>
        <v>0</v>
      </c>
      <c r="X6">
        <f>V6/U$17</f>
        <v>0</v>
      </c>
    </row>
    <row r="7" spans="1:24" x14ac:dyDescent="0.35">
      <c r="A7" s="23">
        <f t="shared" si="1"/>
        <v>4</v>
      </c>
      <c r="B7" s="23">
        <v>22</v>
      </c>
      <c r="C7" s="23">
        <v>24</v>
      </c>
      <c r="D7" s="23">
        <f t="shared" si="0"/>
        <v>-2</v>
      </c>
      <c r="F7">
        <f>F6+1</f>
        <v>-3</v>
      </c>
      <c r="G7">
        <v>136</v>
      </c>
      <c r="H7">
        <f>H6+G7</f>
        <v>205</v>
      </c>
      <c r="I7">
        <f t="shared" ref="I7:I15" si="2">G7/G$16</f>
        <v>6.8000000000000005E-2</v>
      </c>
      <c r="J7">
        <f t="shared" ref="J7:J15" si="3">H7/G$16</f>
        <v>0.10249999999999999</v>
      </c>
      <c r="T7">
        <f>T6+2</f>
        <v>-4</v>
      </c>
      <c r="U7">
        <v>1</v>
      </c>
      <c r="V7">
        <f>V6+U7</f>
        <v>1</v>
      </c>
      <c r="W7">
        <f t="shared" ref="W7:W16" si="4">U7/U$17</f>
        <v>5.0000000000000001E-4</v>
      </c>
      <c r="X7">
        <f t="shared" ref="X7:X16" si="5">V7/U$17</f>
        <v>5.0000000000000001E-4</v>
      </c>
    </row>
    <row r="8" spans="1:24" x14ac:dyDescent="0.35">
      <c r="A8" s="23">
        <f t="shared" si="1"/>
        <v>5</v>
      </c>
      <c r="B8" s="23">
        <v>99</v>
      </c>
      <c r="C8" s="23">
        <v>78</v>
      </c>
      <c r="D8" s="23">
        <f t="shared" si="0"/>
        <v>21</v>
      </c>
      <c r="F8">
        <f t="shared" ref="F8:F14" si="6">F7+1</f>
        <v>-2</v>
      </c>
      <c r="G8">
        <v>213</v>
      </c>
      <c r="H8">
        <f t="shared" ref="H8:H15" si="7">H7+G8</f>
        <v>418</v>
      </c>
      <c r="I8">
        <f t="shared" si="2"/>
        <v>0.1065</v>
      </c>
      <c r="J8">
        <f t="shared" si="3"/>
        <v>0.20899999999999999</v>
      </c>
      <c r="T8">
        <f t="shared" ref="T8:T15" si="8">T7+2</f>
        <v>-2</v>
      </c>
      <c r="U8">
        <v>14</v>
      </c>
      <c r="V8">
        <f t="shared" ref="V8:V16" si="9">V7+U8</f>
        <v>15</v>
      </c>
      <c r="W8">
        <f t="shared" si="4"/>
        <v>7.0000000000000001E-3</v>
      </c>
      <c r="X8">
        <f t="shared" si="5"/>
        <v>7.4999999999999997E-3</v>
      </c>
    </row>
    <row r="9" spans="1:24" x14ac:dyDescent="0.35">
      <c r="A9" s="23">
        <f t="shared" si="1"/>
        <v>6</v>
      </c>
      <c r="B9" s="23">
        <v>79</v>
      </c>
      <c r="C9" s="23">
        <v>76</v>
      </c>
      <c r="D9" s="23">
        <f t="shared" si="0"/>
        <v>3</v>
      </c>
      <c r="F9">
        <f t="shared" si="6"/>
        <v>-1</v>
      </c>
      <c r="G9">
        <v>241</v>
      </c>
      <c r="H9">
        <f t="shared" si="7"/>
        <v>659</v>
      </c>
      <c r="I9">
        <f t="shared" si="2"/>
        <v>0.1205</v>
      </c>
      <c r="J9">
        <f t="shared" si="3"/>
        <v>0.32950000000000002</v>
      </c>
      <c r="T9">
        <f t="shared" si="8"/>
        <v>0</v>
      </c>
      <c r="U9">
        <v>230</v>
      </c>
      <c r="V9">
        <f t="shared" si="9"/>
        <v>245</v>
      </c>
      <c r="W9">
        <f t="shared" si="4"/>
        <v>0.115</v>
      </c>
      <c r="X9">
        <f t="shared" si="5"/>
        <v>0.1225</v>
      </c>
    </row>
    <row r="10" spans="1:24" x14ac:dyDescent="0.35">
      <c r="A10" s="23">
        <f t="shared" si="1"/>
        <v>7</v>
      </c>
      <c r="B10" s="23">
        <v>4</v>
      </c>
      <c r="C10" s="23">
        <v>13</v>
      </c>
      <c r="D10" s="23">
        <f t="shared" si="0"/>
        <v>-9</v>
      </c>
      <c r="F10">
        <f t="shared" si="6"/>
        <v>0</v>
      </c>
      <c r="G10">
        <v>368</v>
      </c>
      <c r="H10">
        <f t="shared" si="7"/>
        <v>1027</v>
      </c>
      <c r="I10">
        <f t="shared" si="2"/>
        <v>0.184</v>
      </c>
      <c r="J10">
        <f t="shared" si="3"/>
        <v>0.51349999999999996</v>
      </c>
      <c r="T10">
        <f t="shared" si="8"/>
        <v>2</v>
      </c>
      <c r="U10">
        <v>582</v>
      </c>
      <c r="V10">
        <f t="shared" si="9"/>
        <v>827</v>
      </c>
      <c r="W10">
        <f t="shared" si="4"/>
        <v>0.29099999999999998</v>
      </c>
      <c r="X10">
        <f t="shared" si="5"/>
        <v>0.41349999999999998</v>
      </c>
    </row>
    <row r="11" spans="1:24" x14ac:dyDescent="0.35">
      <c r="A11" s="23">
        <f t="shared" si="1"/>
        <v>8</v>
      </c>
      <c r="B11" s="23">
        <v>36</v>
      </c>
      <c r="C11" s="23">
        <v>46</v>
      </c>
      <c r="D11" s="23">
        <f t="shared" si="0"/>
        <v>-10</v>
      </c>
      <c r="F11">
        <f t="shared" si="6"/>
        <v>1</v>
      </c>
      <c r="G11">
        <v>317</v>
      </c>
      <c r="H11">
        <f t="shared" si="7"/>
        <v>1344</v>
      </c>
      <c r="I11">
        <f t="shared" si="2"/>
        <v>0.1585</v>
      </c>
      <c r="J11">
        <f t="shared" si="3"/>
        <v>0.67200000000000004</v>
      </c>
      <c r="T11">
        <f t="shared" si="8"/>
        <v>4</v>
      </c>
      <c r="U11">
        <v>697</v>
      </c>
      <c r="V11">
        <f t="shared" si="9"/>
        <v>1524</v>
      </c>
      <c r="W11">
        <f t="shared" si="4"/>
        <v>0.34849999999999998</v>
      </c>
      <c r="X11">
        <f t="shared" si="5"/>
        <v>0.76200000000000001</v>
      </c>
    </row>
    <row r="12" spans="1:24" x14ac:dyDescent="0.35">
      <c r="A12" s="23">
        <f t="shared" si="1"/>
        <v>9</v>
      </c>
      <c r="B12" s="23">
        <v>62</v>
      </c>
      <c r="C12" s="23">
        <v>45</v>
      </c>
      <c r="D12" s="23">
        <f t="shared" si="0"/>
        <v>17</v>
      </c>
      <c r="F12">
        <f t="shared" si="6"/>
        <v>2</v>
      </c>
      <c r="G12">
        <v>308</v>
      </c>
      <c r="H12">
        <f t="shared" si="7"/>
        <v>1652</v>
      </c>
      <c r="I12">
        <f t="shared" si="2"/>
        <v>0.154</v>
      </c>
      <c r="J12">
        <f t="shared" si="3"/>
        <v>0.82599999999999996</v>
      </c>
      <c r="T12">
        <f t="shared" si="8"/>
        <v>6</v>
      </c>
      <c r="U12">
        <v>358</v>
      </c>
      <c r="V12">
        <f t="shared" si="9"/>
        <v>1882</v>
      </c>
      <c r="W12">
        <f t="shared" si="4"/>
        <v>0.17899999999999999</v>
      </c>
      <c r="X12">
        <f t="shared" si="5"/>
        <v>0.94099999999999995</v>
      </c>
    </row>
    <row r="13" spans="1:24" x14ac:dyDescent="0.35">
      <c r="A13" s="23">
        <f t="shared" si="1"/>
        <v>10</v>
      </c>
      <c r="B13" s="23">
        <v>51</v>
      </c>
      <c r="C13" s="23">
        <v>44</v>
      </c>
      <c r="D13" s="23">
        <f t="shared" si="0"/>
        <v>7</v>
      </c>
      <c r="F13">
        <f t="shared" si="6"/>
        <v>3</v>
      </c>
      <c r="G13">
        <v>171</v>
      </c>
      <c r="H13">
        <f t="shared" si="7"/>
        <v>1823</v>
      </c>
      <c r="I13">
        <f t="shared" si="2"/>
        <v>8.5500000000000007E-2</v>
      </c>
      <c r="J13">
        <f t="shared" si="3"/>
        <v>0.91149999999999998</v>
      </c>
      <c r="T13">
        <f t="shared" si="8"/>
        <v>8</v>
      </c>
      <c r="U13">
        <v>104</v>
      </c>
      <c r="V13">
        <f t="shared" si="9"/>
        <v>1986</v>
      </c>
      <c r="W13">
        <f t="shared" si="4"/>
        <v>5.1999999999999998E-2</v>
      </c>
      <c r="X13">
        <f t="shared" si="5"/>
        <v>0.99299999999999999</v>
      </c>
    </row>
    <row r="14" spans="1:24" x14ac:dyDescent="0.35">
      <c r="A14" s="23">
        <f t="shared" si="1"/>
        <v>11</v>
      </c>
      <c r="B14" s="23">
        <v>27</v>
      </c>
      <c r="C14" s="23">
        <v>23</v>
      </c>
      <c r="D14" s="23">
        <f t="shared" si="0"/>
        <v>4</v>
      </c>
      <c r="F14">
        <f t="shared" si="6"/>
        <v>4</v>
      </c>
      <c r="G14">
        <v>120</v>
      </c>
      <c r="H14">
        <f t="shared" si="7"/>
        <v>1943</v>
      </c>
      <c r="I14">
        <f t="shared" si="2"/>
        <v>0.06</v>
      </c>
      <c r="J14">
        <f t="shared" si="3"/>
        <v>0.97150000000000003</v>
      </c>
      <c r="T14">
        <f t="shared" si="8"/>
        <v>10</v>
      </c>
      <c r="U14">
        <v>11</v>
      </c>
      <c r="V14">
        <f t="shared" si="9"/>
        <v>1997</v>
      </c>
      <c r="W14">
        <f t="shared" si="4"/>
        <v>5.4999999999999997E-3</v>
      </c>
      <c r="X14">
        <f t="shared" si="5"/>
        <v>0.99850000000000005</v>
      </c>
    </row>
    <row r="15" spans="1:24" x14ac:dyDescent="0.35">
      <c r="A15" s="23">
        <f t="shared" si="1"/>
        <v>12</v>
      </c>
      <c r="B15" s="23">
        <v>15</v>
      </c>
      <c r="C15" s="23">
        <v>14</v>
      </c>
      <c r="D15" s="23">
        <f t="shared" si="0"/>
        <v>1</v>
      </c>
      <c r="F15" s="7" t="s">
        <v>9</v>
      </c>
      <c r="G15" s="7">
        <v>57</v>
      </c>
      <c r="H15" s="7">
        <f t="shared" si="7"/>
        <v>2000</v>
      </c>
      <c r="I15" s="7">
        <f t="shared" si="2"/>
        <v>2.8500000000000001E-2</v>
      </c>
      <c r="J15" s="7">
        <f t="shared" si="3"/>
        <v>1</v>
      </c>
      <c r="T15">
        <f t="shared" si="8"/>
        <v>12</v>
      </c>
      <c r="U15">
        <v>3</v>
      </c>
      <c r="V15">
        <f t="shared" si="9"/>
        <v>2000</v>
      </c>
      <c r="W15">
        <f t="shared" si="4"/>
        <v>1.5E-3</v>
      </c>
      <c r="X15">
        <f t="shared" si="5"/>
        <v>1</v>
      </c>
    </row>
    <row r="16" spans="1:24" x14ac:dyDescent="0.35">
      <c r="A16" s="23">
        <f t="shared" si="1"/>
        <v>13</v>
      </c>
      <c r="B16" s="23">
        <v>26</v>
      </c>
      <c r="C16" s="23">
        <v>34</v>
      </c>
      <c r="D16" s="23">
        <f t="shared" si="0"/>
        <v>-8</v>
      </c>
      <c r="G16">
        <f>SUM(G6:G15)</f>
        <v>2000</v>
      </c>
      <c r="T16" s="7" t="s">
        <v>9</v>
      </c>
      <c r="U16" s="7">
        <v>0</v>
      </c>
      <c r="V16" s="7">
        <f t="shared" si="9"/>
        <v>2000</v>
      </c>
      <c r="W16" s="7">
        <f t="shared" si="4"/>
        <v>0</v>
      </c>
      <c r="X16" s="7">
        <f t="shared" si="5"/>
        <v>1</v>
      </c>
    </row>
    <row r="17" spans="1:21" x14ac:dyDescent="0.35">
      <c r="A17" s="23">
        <f t="shared" si="1"/>
        <v>14</v>
      </c>
      <c r="B17" s="23">
        <v>83</v>
      </c>
      <c r="C17" s="23">
        <v>79</v>
      </c>
      <c r="D17" s="23">
        <f t="shared" si="0"/>
        <v>4</v>
      </c>
      <c r="U17">
        <f>SUM(U6:U16)</f>
        <v>2000</v>
      </c>
    </row>
    <row r="18" spans="1:21" x14ac:dyDescent="0.35">
      <c r="A18" s="27">
        <f t="shared" si="1"/>
        <v>15</v>
      </c>
      <c r="B18" s="27">
        <v>86</v>
      </c>
      <c r="C18" s="27">
        <v>81</v>
      </c>
      <c r="D18" s="27">
        <f t="shared" si="0"/>
        <v>5</v>
      </c>
      <c r="F18" t="s">
        <v>63</v>
      </c>
    </row>
    <row r="19" spans="1:21" x14ac:dyDescent="0.35">
      <c r="A19" t="s">
        <v>40</v>
      </c>
      <c r="D19" s="23">
        <f>MEDIAN(D4:D18)</f>
        <v>3</v>
      </c>
      <c r="T19" t="s">
        <v>63</v>
      </c>
    </row>
    <row r="20" spans="1:21" x14ac:dyDescent="0.35">
      <c r="F20" t="s">
        <v>12</v>
      </c>
      <c r="G20" s="8">
        <v>0.05</v>
      </c>
    </row>
    <row r="21" spans="1:21" x14ac:dyDescent="0.35">
      <c r="F21" t="s">
        <v>14</v>
      </c>
      <c r="G21" s="9">
        <v>2.5333333333333332</v>
      </c>
      <c r="T21" t="s">
        <v>12</v>
      </c>
      <c r="U21" s="8">
        <v>0.05</v>
      </c>
    </row>
    <row r="22" spans="1:21" x14ac:dyDescent="0.35">
      <c r="F22" t="s">
        <v>16</v>
      </c>
      <c r="G22" s="9">
        <v>0.1585</v>
      </c>
      <c r="T22" t="s">
        <v>14</v>
      </c>
      <c r="U22" s="9">
        <v>2.5333333333333332</v>
      </c>
    </row>
    <row r="23" spans="1:21" x14ac:dyDescent="0.35">
      <c r="F23" t="s">
        <v>18</v>
      </c>
      <c r="G23" s="9">
        <v>0.13700000000000001</v>
      </c>
      <c r="T23" t="s">
        <v>16</v>
      </c>
      <c r="U23" s="9">
        <v>0.1225</v>
      </c>
    </row>
    <row r="24" spans="1:21" x14ac:dyDescent="0.35">
      <c r="F24" t="s">
        <v>20</v>
      </c>
      <c r="G24" s="12">
        <v>0.29549999999999998</v>
      </c>
      <c r="T24" t="s">
        <v>18</v>
      </c>
      <c r="U24" s="9">
        <v>0.1275</v>
      </c>
    </row>
    <row r="25" spans="1:21" x14ac:dyDescent="0.35">
      <c r="T25" t="s">
        <v>20</v>
      </c>
      <c r="U25" s="12">
        <v>0.25</v>
      </c>
    </row>
    <row r="27" spans="1:21" x14ac:dyDescent="0.35">
      <c r="T27" t="s">
        <v>11</v>
      </c>
    </row>
    <row r="29" spans="1:21" x14ac:dyDescent="0.35">
      <c r="T29" t="s">
        <v>13</v>
      </c>
      <c r="U29" s="8">
        <v>2.5640333333333336</v>
      </c>
    </row>
    <row r="30" spans="1:21" x14ac:dyDescent="0.35">
      <c r="T30" t="s">
        <v>15</v>
      </c>
      <c r="U30" s="9">
        <v>2.1255950613793408</v>
      </c>
    </row>
    <row r="31" spans="1:21" x14ac:dyDescent="0.35">
      <c r="T31" t="s">
        <v>17</v>
      </c>
      <c r="U31" s="9">
        <v>-1.3333333333333333</v>
      </c>
    </row>
    <row r="32" spans="1:21" x14ac:dyDescent="0.35">
      <c r="T32" t="s">
        <v>19</v>
      </c>
      <c r="U32" s="12">
        <v>6.8666666666666663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One sample</vt:lpstr>
      <vt:lpstr>Two samples</vt:lpstr>
      <vt:lpstr>Paired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2023-09-21T12:35:59Z</dcterms:created>
  <dcterms:modified xsi:type="dcterms:W3CDTF">2023-09-21T12:40:14Z</dcterms:modified>
</cp:coreProperties>
</file>