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3405379-E2B2-4B61-8EBA-B25DFFD83B42}" xr6:coauthVersionLast="47" xr6:coauthVersionMax="47" xr10:uidLastSave="{00000000-0000-0000-0000-000000000000}"/>
  <bookViews>
    <workbookView xWindow="-110" yWindow="-110" windowWidth="19420" windowHeight="10300" xr2:uid="{B614CF25-F0E7-4311-98D9-3486DCDE6190}"/>
  </bookViews>
  <sheets>
    <sheet name="Title" sheetId="3" r:id="rId1"/>
    <sheet name="Example 1" sheetId="1" r:id="rId2"/>
    <sheet name="Example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4" l="1"/>
  <c r="R9" i="4"/>
  <c r="R8" i="4"/>
  <c r="Q18" i="1" a="1"/>
  <c r="Q18" i="1" s="1"/>
  <c r="E25" i="4"/>
  <c r="C22" i="4"/>
  <c r="E16" i="4"/>
  <c r="D16" i="4"/>
  <c r="C16" i="4"/>
  <c r="B16" i="4"/>
  <c r="E15" i="4"/>
  <c r="D15" i="4"/>
  <c r="C15" i="4"/>
  <c r="C26" i="4" s="1"/>
  <c r="B15" i="4"/>
  <c r="E14" i="4"/>
  <c r="E28" i="4" s="1"/>
  <c r="D14" i="4"/>
  <c r="D28" i="4" s="1"/>
  <c r="C14" i="4"/>
  <c r="B14" i="4"/>
  <c r="B28" i="4" s="1"/>
  <c r="G10" i="4"/>
  <c r="G9" i="4"/>
  <c r="G8" i="4"/>
  <c r="I14" i="4" s="1"/>
  <c r="G7" i="4"/>
  <c r="L10" i="1"/>
  <c r="L9" i="1"/>
  <c r="L8" i="1"/>
  <c r="L7" i="1"/>
  <c r="C14" i="1"/>
  <c r="D14" i="1"/>
  <c r="E14" i="1"/>
  <c r="B14" i="1"/>
  <c r="N14" i="1" l="1"/>
  <c r="C24" i="4"/>
  <c r="B21" i="4"/>
  <c r="B23" i="4"/>
  <c r="B25" i="4"/>
  <c r="B27" i="4"/>
  <c r="C21" i="4"/>
  <c r="C23" i="4"/>
  <c r="C25" i="4"/>
  <c r="C27" i="4"/>
  <c r="D21" i="4"/>
  <c r="D23" i="4"/>
  <c r="D25" i="4"/>
  <c r="D27" i="4"/>
  <c r="E21" i="4"/>
  <c r="E23" i="4"/>
  <c r="E27" i="4"/>
  <c r="B22" i="4"/>
  <c r="B24" i="4"/>
  <c r="B26" i="4"/>
  <c r="C28" i="4"/>
  <c r="D22" i="4"/>
  <c r="D24" i="4"/>
  <c r="D26" i="4"/>
  <c r="E22" i="4"/>
  <c r="E24" i="4"/>
  <c r="E26" i="4"/>
  <c r="E16" i="1"/>
  <c r="D16" i="1"/>
  <c r="C16" i="1"/>
  <c r="B16" i="1"/>
  <c r="E15" i="1"/>
  <c r="D15" i="1"/>
  <c r="C15" i="1"/>
  <c r="B15" i="1"/>
  <c r="J10" i="1" l="1"/>
  <c r="G9" i="1"/>
  <c r="I9" i="1"/>
  <c r="G6" i="1"/>
  <c r="J8" i="1"/>
  <c r="G7" i="1"/>
  <c r="L7" i="4"/>
  <c r="H15" i="4" s="1"/>
  <c r="H16" i="4"/>
  <c r="J7" i="4"/>
  <c r="I16" i="4"/>
  <c r="I15" i="4" s="1"/>
  <c r="K7" i="4"/>
  <c r="I7" i="4"/>
  <c r="H7" i="4"/>
  <c r="I10" i="4"/>
  <c r="H10" i="4"/>
  <c r="L10" i="4"/>
  <c r="K10" i="4"/>
  <c r="J10" i="4"/>
  <c r="K8" i="4"/>
  <c r="J8" i="4"/>
  <c r="H8" i="4"/>
  <c r="L8" i="4"/>
  <c r="I8" i="4"/>
  <c r="J9" i="4"/>
  <c r="H9" i="4"/>
  <c r="I9" i="4"/>
  <c r="L9" i="4"/>
  <c r="K9" i="4"/>
  <c r="J12" i="1"/>
  <c r="G12" i="1"/>
  <c r="H8" i="1"/>
  <c r="G11" i="1"/>
  <c r="I11" i="1"/>
  <c r="H6" i="1"/>
  <c r="I13" i="1"/>
  <c r="G13" i="1"/>
  <c r="J11" i="1"/>
  <c r="I6" i="1"/>
  <c r="I8" i="1"/>
  <c r="J9" i="1"/>
  <c r="H9" i="1"/>
  <c r="J13" i="1"/>
  <c r="I10" i="1"/>
  <c r="I7" i="1"/>
  <c r="H10" i="1"/>
  <c r="H12" i="1"/>
  <c r="H11" i="1"/>
  <c r="G8" i="1"/>
  <c r="I12" i="1"/>
  <c r="J7" i="1"/>
  <c r="H13" i="1"/>
  <c r="G10" i="1"/>
  <c r="J6" i="1"/>
  <c r="H7" i="1"/>
  <c r="M16" i="1" l="1"/>
  <c r="M7" i="1"/>
  <c r="N7" i="1"/>
  <c r="P9" i="1"/>
  <c r="O9" i="1"/>
  <c r="N9" i="1"/>
  <c r="Q9" i="1"/>
  <c r="M9" i="1"/>
  <c r="O7" i="1"/>
  <c r="Q10" i="1"/>
  <c r="P10" i="1"/>
  <c r="O10" i="1"/>
  <c r="N10" i="1"/>
  <c r="M10" i="1"/>
  <c r="P7" i="1"/>
  <c r="Q7" i="1"/>
  <c r="N16" i="1"/>
  <c r="N15" i="1" s="1"/>
  <c r="N8" i="1"/>
  <c r="M8" i="1"/>
  <c r="Q8" i="1"/>
  <c r="P8" i="1"/>
  <c r="O8" i="1"/>
  <c r="J15" i="4"/>
  <c r="M9" i="4" s="1"/>
  <c r="J16" i="4"/>
  <c r="H14" i="4"/>
  <c r="M15" i="1" l="1"/>
  <c r="M14" i="1" s="1"/>
  <c r="R14" i="1" s="1"/>
  <c r="O16" i="1"/>
  <c r="O9" i="4"/>
  <c r="N9" i="4"/>
  <c r="O14" i="4"/>
  <c r="M7" i="4"/>
  <c r="O7" i="4" s="1"/>
  <c r="M8" i="4"/>
  <c r="O8" i="4" s="1"/>
  <c r="M10" i="4"/>
  <c r="N14" i="4"/>
  <c r="N7" i="4"/>
  <c r="M14" i="4"/>
  <c r="J14" i="4"/>
  <c r="K14" i="4" s="1"/>
  <c r="L14" i="4" s="1"/>
  <c r="O14" i="1" l="1"/>
  <c r="O15" i="1"/>
  <c r="S14" i="1" s="1"/>
  <c r="N8" i="4"/>
  <c r="N10" i="4"/>
  <c r="O10" i="4"/>
  <c r="R9" i="1" l="1"/>
  <c r="T9" i="1" s="1"/>
  <c r="T14" i="1"/>
  <c r="R8" i="1"/>
  <c r="T8" i="1" s="1"/>
  <c r="P14" i="1"/>
  <c r="Q14" i="1" s="1"/>
  <c r="R7" i="1"/>
  <c r="S7" i="1" s="1"/>
  <c r="R10" i="1"/>
  <c r="T10" i="1" s="1"/>
  <c r="S10" i="1" l="1"/>
  <c r="T7" i="1"/>
  <c r="S9" i="1"/>
  <c r="S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<sst xmlns="http://schemas.openxmlformats.org/spreadsheetml/2006/main" count="89" uniqueCount="44">
  <si>
    <t>Levene's Tests</t>
  </si>
  <si>
    <t>Method 1</t>
  </si>
  <si>
    <t>Method 2</t>
  </si>
  <si>
    <t>Method 3</t>
  </si>
  <si>
    <t>Method 4</t>
  </si>
  <si>
    <t>type</t>
  </si>
  <si>
    <t>p-value</t>
  </si>
  <si>
    <t>Count</t>
  </si>
  <si>
    <t>Sum</t>
  </si>
  <si>
    <t>Variance</t>
  </si>
  <si>
    <t>means</t>
  </si>
  <si>
    <t>medians</t>
  </si>
  <si>
    <t>trimmed</t>
  </si>
  <si>
    <t>ANOVA</t>
  </si>
  <si>
    <r>
      <t>x̄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</si>
  <si>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SS</t>
  </si>
  <si>
    <t>df</t>
  </si>
  <si>
    <t>MS</t>
  </si>
  <si>
    <t>F</t>
  </si>
  <si>
    <r>
      <t>s</t>
    </r>
    <r>
      <rPr>
        <i/>
        <vertAlign val="subscript"/>
        <sz val="11"/>
        <color theme="1"/>
        <rFont val="Calibri"/>
        <family val="2"/>
        <scheme val="minor"/>
      </rPr>
      <t>j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</si>
  <si>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Between Groups</t>
  </si>
  <si>
    <t>Within Groups</t>
  </si>
  <si>
    <t>Total</t>
  </si>
  <si>
    <t>Real Statistics Using Excel</t>
  </si>
  <si>
    <t>Updated</t>
  </si>
  <si>
    <t>Copyright © 2013 - 2023 Charles Zaiontz</t>
  </si>
  <si>
    <t>O'Brien's Test</t>
  </si>
  <si>
    <t>O'Brien's transformation</t>
  </si>
  <si>
    <r>
      <t>n</t>
    </r>
    <r>
      <rPr>
        <vertAlign val="subscript"/>
        <sz val="11"/>
        <color theme="1"/>
        <rFont val="Calibri"/>
        <family val="2"/>
        <scheme val="minor"/>
      </rPr>
      <t>j</t>
    </r>
  </si>
  <si>
    <t>O'Brien's test for homogeneity of variances</t>
  </si>
  <si>
    <t>Data</t>
  </si>
  <si>
    <t>ANOVA: Single Factor</t>
  </si>
  <si>
    <t>DESCRIPTION</t>
  </si>
  <si>
    <t>Alpha</t>
  </si>
  <si>
    <t>Group</t>
  </si>
  <si>
    <t>Mean</t>
  </si>
  <si>
    <t>Std Err</t>
  </si>
  <si>
    <t>Lower</t>
  </si>
  <si>
    <t>Upper</t>
  </si>
  <si>
    <t>Sources</t>
  </si>
  <si>
    <t>P value</t>
  </si>
  <si>
    <t>Eta-sq</t>
  </si>
  <si>
    <t>RMSSE</t>
  </si>
  <si>
    <t>Omega 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</si>
</sst>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15" fontId="0" fillId="0" borderId="0" xfId="0" applyNumberFormat="1"/>
    <xf numFmtId="0" fontId="5" fillId="0" borderId="0" xfId="0" applyFont="1"/>
    <xf numFmtId="0" fontId="0" fillId="0" borderId="0" xfId="0" applyBorder="1" applyAlignment="1">
      <alignment horizontal="right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63A5-F7F3-4E96-ABD0-FB7C4812658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13">
        <v>45172</v>
      </c>
    </row>
    <row r="6" spans="1:2" x14ac:dyDescent="0.35">
      <c r="A6" s="1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3FAD-B11E-4C6A-914D-6A59C01F490A}">
  <sheetPr codeName="Sheet98"/>
  <dimension ref="A1:T29"/>
  <sheetViews>
    <sheetView zoomScaleNormal="100" workbookViewId="0"/>
  </sheetViews>
  <sheetFormatPr defaultRowHeight="14.5" x14ac:dyDescent="0.35"/>
  <cols>
    <col min="1" max="1" width="4.81640625" customWidth="1"/>
    <col min="6" max="6" width="5.81640625" customWidth="1"/>
    <col min="7" max="10" width="8.7265625" customWidth="1"/>
    <col min="11" max="11" width="5.81640625" customWidth="1"/>
    <col min="12" max="12" width="14.6328125" customWidth="1"/>
  </cols>
  <sheetData>
    <row r="1" spans="1:20" x14ac:dyDescent="0.35">
      <c r="A1" s="1" t="s">
        <v>29</v>
      </c>
    </row>
    <row r="2" spans="1:20" x14ac:dyDescent="0.35">
      <c r="A2" s="1"/>
    </row>
    <row r="3" spans="1:20" x14ac:dyDescent="0.35">
      <c r="B3" t="s">
        <v>30</v>
      </c>
      <c r="G3" t="s">
        <v>27</v>
      </c>
      <c r="L3" t="s">
        <v>31</v>
      </c>
    </row>
    <row r="5" spans="1:20" ht="15" thickBot="1" x14ac:dyDescent="0.4">
      <c r="B5" s="2" t="s">
        <v>1</v>
      </c>
      <c r="C5" s="2" t="s">
        <v>2</v>
      </c>
      <c r="D5" s="2" t="s">
        <v>3</v>
      </c>
      <c r="E5" s="2" t="s">
        <v>4</v>
      </c>
      <c r="G5" s="12" t="s">
        <v>1</v>
      </c>
      <c r="H5" s="12" t="s">
        <v>2</v>
      </c>
      <c r="I5" s="12" t="s">
        <v>3</v>
      </c>
      <c r="J5" s="12" t="s">
        <v>4</v>
      </c>
      <c r="L5" t="s">
        <v>32</v>
      </c>
      <c r="Q5" t="s">
        <v>33</v>
      </c>
      <c r="R5">
        <v>0.05</v>
      </c>
    </row>
    <row r="6" spans="1:20" ht="15" thickTop="1" x14ac:dyDescent="0.35">
      <c r="B6" s="2">
        <v>51</v>
      </c>
      <c r="C6" s="2">
        <v>82</v>
      </c>
      <c r="D6" s="2">
        <v>79</v>
      </c>
      <c r="E6" s="2">
        <v>85</v>
      </c>
      <c r="G6" s="15">
        <f>IF(ISNUMBER(B6),B$14*(B$14-1.5)*(B6-B$15)^2/((B$14-1)*(B$14-2))-B$16/(2*(B$14-2)),"")</f>
        <v>90.961309523809533</v>
      </c>
      <c r="H6" s="15">
        <f>IF(ISNUMBER(C6),C$14*(C$14-1.5)*(C6-C$15)^2/((C$14-1)*(C$14-2))-C$16/(2*(C$14-2)),"")</f>
        <v>7.9375</v>
      </c>
      <c r="I6" s="15">
        <f>IF(ISNUMBER(D6),D$14*(D$14-1.5)*(D6-D$15)^2/((D$14-1)*(D$14-2))-D$16/(2*(D$14-2)),"")</f>
        <v>-12.476190476190478</v>
      </c>
      <c r="J6" s="15">
        <f>IF(ISNUMBER(E6),E$14*(E$14-1.5)*(E6-E$15)^2/((E$14-1)*(E$14-2))-E$16/(2*(E$14-2)),"")</f>
        <v>198.15178571428572</v>
      </c>
      <c r="L6" s="16" t="s">
        <v>34</v>
      </c>
      <c r="M6" s="16" t="s">
        <v>7</v>
      </c>
      <c r="N6" s="16" t="s">
        <v>8</v>
      </c>
      <c r="O6" s="16" t="s">
        <v>35</v>
      </c>
      <c r="P6" s="16" t="s">
        <v>9</v>
      </c>
      <c r="Q6" s="16" t="s">
        <v>15</v>
      </c>
      <c r="R6" s="16" t="s">
        <v>36</v>
      </c>
      <c r="S6" s="16" t="s">
        <v>37</v>
      </c>
      <c r="T6" s="16" t="s">
        <v>38</v>
      </c>
    </row>
    <row r="7" spans="1:20" x14ac:dyDescent="0.35">
      <c r="B7" s="6">
        <v>87</v>
      </c>
      <c r="C7" s="6">
        <v>91</v>
      </c>
      <c r="D7" s="6">
        <v>84</v>
      </c>
      <c r="E7" s="6">
        <v>80</v>
      </c>
      <c r="G7" s="15">
        <f>IF(ISNUMBER(B7),B$14*(B$14-1.5)*(B7-B$15)^2/((B$14-1)*(B$14-2))-B$16/(2*(B$14-2)),"")</f>
        <v>859.81845238095229</v>
      </c>
      <c r="H7" s="15">
        <f>IF(ISNUMBER(C7),C$14*(C$14-1.5)*(C7-C$15)^2/((C$14-1)*(C$14-2))-C$16/(2*(C$14-2)),"")</f>
        <v>200.15178571428572</v>
      </c>
      <c r="I7" s="15">
        <f>IF(ISNUMBER(D7),D$14*(D$14-1.5)*(D7-D$15)^2/((D$14-1)*(D$14-2))-D$16/(2*(D$14-2)),"")</f>
        <v>30.857142857142854</v>
      </c>
      <c r="J7" s="15">
        <f>IF(ISNUMBER(E7),E$14*(E$14-1.5)*(E7-E$15)^2/((E$14-1)*(E$14-2))-E$16/(2*(E$14-2)),"")</f>
        <v>66.604166666666657</v>
      </c>
      <c r="L7" t="str">
        <f>G5</f>
        <v>Method 1</v>
      </c>
      <c r="M7">
        <f>COUNT(G6:G13)</f>
        <v>8</v>
      </c>
      <c r="N7">
        <f>SUM(G6:G13)</f>
        <v>1714.1428571428569</v>
      </c>
      <c r="O7">
        <f>AVERAGE(G6:G13)</f>
        <v>214.26785714285711</v>
      </c>
      <c r="P7">
        <f>_xlfn.VAR.S(G6:G13)</f>
        <v>85190.7522574506</v>
      </c>
      <c r="Q7">
        <f>DEVSQ(G6:G13)</f>
        <v>596335.26580215408</v>
      </c>
      <c r="R7">
        <f>SQRT(O15/M7)</f>
        <v>90.442784943399687</v>
      </c>
      <c r="S7">
        <f>O7-R7*_xlfn.T.INV.2T(R5,N15)</f>
        <v>29.004210540945792</v>
      </c>
      <c r="T7">
        <f>O7+R7*_xlfn.T.INV.2T(R5,N15)</f>
        <v>399.53150374476843</v>
      </c>
    </row>
    <row r="8" spans="1:20" x14ac:dyDescent="0.35">
      <c r="B8" s="6">
        <v>50</v>
      </c>
      <c r="C8" s="6">
        <v>92</v>
      </c>
      <c r="D8" s="6">
        <v>74</v>
      </c>
      <c r="E8" s="6">
        <v>65</v>
      </c>
      <c r="G8" s="15">
        <f>IF(ISNUMBER(B8),B$14*(B$14-1.5)*(B8-B$15)^2/((B$14-1)*(B$14-2))-B$16/(2*(B$14-2)),"")</f>
        <v>115.41369047619048</v>
      </c>
      <c r="H8" s="15">
        <f>IF(ISNUMBER(C8),C$14*(C$14-1.5)*(C8-C$15)^2/((C$14-1)*(C$14-2))-C$16/(2*(C$14-2)),"")</f>
        <v>233.88988095238096</v>
      </c>
      <c r="I8" s="15">
        <f>IF(ISNUMBER(D8),D$14*(D$14-1.5)*(D8-D$15)^2/((D$14-1)*(D$14-2))-D$16/(2*(D$14-2)),"")</f>
        <v>6.0952380952380949</v>
      </c>
      <c r="J8" s="15">
        <f>IF(ISNUMBER(E8),E$14*(E$14-1.5)*(E8-E$15)^2/((E$14-1)*(E$14-2))-E$16/(2*(E$14-2)),"")</f>
        <v>43.389880952380956</v>
      </c>
      <c r="L8" t="str">
        <f>H5</f>
        <v>Method 2</v>
      </c>
      <c r="M8">
        <f>COUNT(H6:H13)</f>
        <v>8</v>
      </c>
      <c r="N8">
        <f>SUM(H6:H13)</f>
        <v>1260.4285714285716</v>
      </c>
      <c r="O8">
        <f>AVERAGE(H6:H13)</f>
        <v>157.55357142857144</v>
      </c>
      <c r="P8">
        <f>_xlfn.VAR.S(H6:H13)</f>
        <v>80321.422649416869</v>
      </c>
      <c r="Q8">
        <f>DEVSQ(H6:H13)</f>
        <v>562249.95854591823</v>
      </c>
      <c r="R8">
        <f>SQRT(O15/M8)</f>
        <v>90.442784943399687</v>
      </c>
      <c r="S8">
        <f>O8-R8*_xlfn.T.INV.2T(R5,N15)</f>
        <v>-27.710075173339874</v>
      </c>
      <c r="T8">
        <f>O8+R8*_xlfn.T.INV.2T(R5,N15)</f>
        <v>342.81721803048276</v>
      </c>
    </row>
    <row r="9" spans="1:20" x14ac:dyDescent="0.35">
      <c r="B9" s="6">
        <v>48</v>
      </c>
      <c r="C9" s="6">
        <v>80</v>
      </c>
      <c r="D9" s="6">
        <v>98</v>
      </c>
      <c r="E9" s="6">
        <v>71</v>
      </c>
      <c r="G9" s="15">
        <f>IF(ISNUMBER(B9),B$14*(B$14-1.5)*(B9-B$15)^2/((B$14-1)*(B$14-2))-B$16/(2*(B$14-2)),"")</f>
        <v>171.74702380952382</v>
      </c>
      <c r="H9" s="15">
        <f>IF(ISNUMBER(C9),C$14*(C$14-1.5)*(C9-C$15)^2/((C$14-1)*(C$14-2))-C$16/(2*(C$14-2)),"")</f>
        <v>-7.5386904761904754</v>
      </c>
      <c r="I9" s="15">
        <f>IF(ISNUMBER(D9),D$14*(D$14-1.5)*(D9-D$15)^2/((D$14-1)*(D$14-2))-D$16/(2*(D$14-2)),"")</f>
        <v>481.52380952380952</v>
      </c>
      <c r="J9" s="15">
        <f>IF(ISNUMBER(E9),E$14*(E$14-1.5)*(E9-E$15)^2/((E$14-1)*(E$14-2))-E$16/(2*(E$14-2)),"")</f>
        <v>-14.181547619047619</v>
      </c>
      <c r="L9" t="str">
        <f>I5</f>
        <v>Method 3</v>
      </c>
      <c r="M9">
        <f>COUNT(I6:I13)</f>
        <v>8</v>
      </c>
      <c r="N9">
        <f>SUM(I6:I13)</f>
        <v>1316.5714285714284</v>
      </c>
      <c r="O9">
        <f>AVERAGE(I6:I13)</f>
        <v>164.57142857142856</v>
      </c>
      <c r="P9">
        <f>_xlfn.VAR.S(I6:I13)</f>
        <v>45836.610301263361</v>
      </c>
      <c r="Q9">
        <f>DEVSQ(I6:I13)</f>
        <v>320856.27210884349</v>
      </c>
      <c r="R9">
        <f>SQRT(O15/M9)</f>
        <v>90.442784943399687</v>
      </c>
      <c r="S9">
        <f>O9-R9*_xlfn.T.INV.2T(R5,N15)</f>
        <v>-20.692218030482763</v>
      </c>
      <c r="T9">
        <f>O9+R9*_xlfn.T.INV.2T(R5,N15)</f>
        <v>349.83507517333987</v>
      </c>
    </row>
    <row r="10" spans="1:20" x14ac:dyDescent="0.35">
      <c r="B10" s="6">
        <v>79</v>
      </c>
      <c r="C10" s="6">
        <v>52</v>
      </c>
      <c r="D10" s="6">
        <v>63</v>
      </c>
      <c r="E10" s="6">
        <v>67</v>
      </c>
      <c r="G10" s="15">
        <f>IF(ISNUMBER(B10),B$14*(B$14-1.5)*(B10-B$15)^2/((B$14-1)*(B$14-2))-B$16/(2*(B$14-2)),"")</f>
        <v>411.6279761904762</v>
      </c>
      <c r="H10" s="15">
        <f>IF(ISNUMBER(C10),C$14*(C$14-1.5)*(C10-C$15)^2/((C$14-1)*(C$14-2))-C$16/(2*(C$14-2)),"")</f>
        <v>815.79464285714278</v>
      </c>
      <c r="I10" s="15">
        <f>IF(ISNUMBER(D10),D$14*(D$14-1.5)*(D10-D$15)^2/((D$14-1)*(D$14-2))-D$16/(2*(D$14-2)),"")</f>
        <v>264.85714285714283</v>
      </c>
      <c r="J10" s="15">
        <f>IF(ISNUMBER(E10),E$14*(E$14-1.5)*(E10-E$15)^2/((E$14-1)*(E$14-2))-E$16/(2*(E$14-2)),"")</f>
        <v>14.294642857142858</v>
      </c>
      <c r="L10" t="str">
        <f>J5</f>
        <v>Method 4</v>
      </c>
      <c r="M10">
        <f>COUNT(J6:J13)</f>
        <v>8</v>
      </c>
      <c r="N10">
        <f>SUM(J6:J13)</f>
        <v>1452.4285714285711</v>
      </c>
      <c r="O10">
        <f>AVERAGE(J6:J13)</f>
        <v>181.55357142857139</v>
      </c>
      <c r="P10">
        <f>_xlfn.VAR.S(J6:J13)</f>
        <v>50407.929938046633</v>
      </c>
      <c r="Q10">
        <f>DEVSQ(J6:J13)</f>
        <v>352855.50956632639</v>
      </c>
      <c r="R10">
        <f>SQRT(O15/M10)</f>
        <v>90.442784943399687</v>
      </c>
      <c r="S10">
        <f>O10-R10*_xlfn.T.INV.2T(R5,N15)</f>
        <v>-3.7100751733399306</v>
      </c>
      <c r="T10">
        <f>O10+R10*_xlfn.T.INV.2T(R5,N15)</f>
        <v>366.81721803048271</v>
      </c>
    </row>
    <row r="11" spans="1:20" x14ac:dyDescent="0.35">
      <c r="B11" s="6">
        <v>61</v>
      </c>
      <c r="C11" s="6">
        <v>79</v>
      </c>
      <c r="D11" s="6">
        <v>83</v>
      </c>
      <c r="E11" s="6">
        <v>51</v>
      </c>
      <c r="G11" s="15">
        <f>IF(ISNUMBER(B11),B$14*(B$14-1.5)*(B11-B$15)^2/((B$14-1)*(B$14-2))-B$16/(2*(B$14-2)),"")</f>
        <v>-17.37202380952381</v>
      </c>
      <c r="H11" s="15">
        <f>IF(ISNUMBER(C11),C$14*(C$14-1.5)*(C11-C$15)^2/((C$14-1)*(C$14-2))-C$16/(2*(C$14-2)),"")</f>
        <v>-11.562499999999998</v>
      </c>
      <c r="I11" s="15">
        <f>IF(ISNUMBER(D11),D$14*(D$14-1.5)*(D11-D$15)^2/((D$14-1)*(D$14-2))-D$16/(2*(D$14-2)),"")</f>
        <v>17.238095238095237</v>
      </c>
      <c r="J11" s="15">
        <f>IF(ISNUMBER(E11),E$14*(E$14-1.5)*(E11-E$15)^2/((E$14-1)*(E$14-2))-E$16/(2*(E$14-2)),"")</f>
        <v>524.38988095238085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5" thickBot="1" x14ac:dyDescent="0.4">
      <c r="B12" s="6">
        <v>53</v>
      </c>
      <c r="C12" s="6">
        <v>73</v>
      </c>
      <c r="D12" s="6">
        <v>85</v>
      </c>
      <c r="E12" s="6">
        <v>63</v>
      </c>
      <c r="G12" s="15">
        <f>IF(ISNUMBER(B12),B$14*(B$14-1.5)*(B12-B$15)^2/((B$14-1)*(B$14-2))-B$16/(2*(B$14-2)),"")</f>
        <v>49.485119047619051</v>
      </c>
      <c r="H12" s="15">
        <f>IF(ISNUMBER(C12),C$14*(C$14-1.5)*(C12-C$15)^2/((C$14-1)*(C$14-2))-C$16/(2*(C$14-2)),"")</f>
        <v>16.294642857142858</v>
      </c>
      <c r="I12" s="15">
        <f>IF(ISNUMBER(D12),D$14*(D$14-1.5)*(D12-D$15)^2/((D$14-1)*(D$14-2))-D$16/(2*(D$14-2)),"")</f>
        <v>46.952380952380949</v>
      </c>
      <c r="J12" s="15">
        <f>IF(ISNUMBER(E12),E$14*(E$14-1.5)*(E12-E$15)^2/((E$14-1)*(E$14-2))-E$16/(2*(E$14-2)),"")</f>
        <v>82.389880952380963</v>
      </c>
      <c r="L12" t="s">
        <v>13</v>
      </c>
    </row>
    <row r="13" spans="1:20" ht="15" thickTop="1" x14ac:dyDescent="0.35">
      <c r="B13" s="9">
        <v>54</v>
      </c>
      <c r="C13" s="9">
        <v>74</v>
      </c>
      <c r="D13" s="9">
        <v>58</v>
      </c>
      <c r="E13" s="9">
        <v>93</v>
      </c>
      <c r="G13" s="11">
        <f>IF(ISNUMBER(B13),B$14*(B$14-1.5)*(B13-B$15)^2/((B$14-1)*(B$14-2))-B$16/(2*(B$14-2)),"")</f>
        <v>32.461309523809518</v>
      </c>
      <c r="H13" s="11">
        <f>IF(ISNUMBER(C13),C$14*(C$14-1.5)*(C13-C$15)^2/((C$14-1)*(C$14-2))-C$16/(2*(C$14-2)),"")</f>
        <v>5.4613095238095255</v>
      </c>
      <c r="I13" s="11">
        <f>IF(ISNUMBER(D13),D$14*(D$14-1.5)*(D13-D$15)^2/((D$14-1)*(D$14-2))-D$16/(2*(D$14-2)),"")</f>
        <v>481.52380952380952</v>
      </c>
      <c r="J13" s="11">
        <f>IF(ISNUMBER(E13),E$14*(E$14-1.5)*(E13-E$15)^2/((E$14-1)*(E$14-2))-E$16/(2*(E$14-2)),"")</f>
        <v>537.38988095238085</v>
      </c>
      <c r="L13" s="16" t="s">
        <v>39</v>
      </c>
      <c r="M13" s="16" t="s">
        <v>15</v>
      </c>
      <c r="N13" s="16" t="s">
        <v>16</v>
      </c>
      <c r="O13" s="16" t="s">
        <v>17</v>
      </c>
      <c r="P13" s="16" t="s">
        <v>18</v>
      </c>
      <c r="Q13" s="16" t="s">
        <v>40</v>
      </c>
      <c r="R13" s="16" t="s">
        <v>41</v>
      </c>
      <c r="S13" s="16" t="s">
        <v>42</v>
      </c>
      <c r="T13" s="16" t="s">
        <v>43</v>
      </c>
    </row>
    <row r="14" spans="1:20" ht="14.5" customHeight="1" x14ac:dyDescent="0.45">
      <c r="A14" s="6" t="s">
        <v>28</v>
      </c>
      <c r="B14" s="6">
        <f>COUNT(B6:B13)</f>
        <v>8</v>
      </c>
      <c r="C14" s="6">
        <f t="shared" ref="C14:E14" si="0">COUNT(C6:C13)</f>
        <v>8</v>
      </c>
      <c r="D14" s="6">
        <f t="shared" si="0"/>
        <v>8</v>
      </c>
      <c r="E14" s="6">
        <f t="shared" si="0"/>
        <v>8</v>
      </c>
      <c r="L14" t="s">
        <v>20</v>
      </c>
      <c r="M14">
        <f>M16-M15</f>
        <v>15340.226403060835</v>
      </c>
      <c r="N14">
        <f>COUNTA(L7:L10)-1</f>
        <v>3</v>
      </c>
      <c r="O14">
        <f>M14/N14</f>
        <v>5113.4088010202786</v>
      </c>
      <c r="P14">
        <f>O14/O15</f>
        <v>7.8139868131592446E-2</v>
      </c>
      <c r="Q14">
        <f>_xlfn.F.DIST.RT(P14,N14,N15)</f>
        <v>0.97131146420866277</v>
      </c>
      <c r="R14">
        <f>M14/M16</f>
        <v>8.3026181405297644E-3</v>
      </c>
      <c r="S14">
        <f>SQRT(DEVSQ(O7:O10)/(O15*N14))</f>
        <v>9.8830579864985557E-2</v>
      </c>
      <c r="T14">
        <f>(M16-N16*O15)/(M16+O15)</f>
        <v>-9.4600147122109304E-2</v>
      </c>
    </row>
    <row r="15" spans="1:20" ht="16.5" x14ac:dyDescent="0.45">
      <c r="A15" s="10" t="s">
        <v>14</v>
      </c>
      <c r="B15" s="6">
        <f>AVERAGE(B6:B13)</f>
        <v>60.375</v>
      </c>
      <c r="C15" s="6">
        <f>AVERAGE(C6:C13)</f>
        <v>77.875</v>
      </c>
      <c r="D15" s="6">
        <f>AVERAGE(D6:D13)</f>
        <v>78</v>
      </c>
      <c r="E15" s="6">
        <f>AVERAGE(E6:E13)</f>
        <v>71.875</v>
      </c>
      <c r="L15" t="s">
        <v>21</v>
      </c>
      <c r="M15">
        <f>SUM(Q7:Q10)</f>
        <v>1832297.0060232424</v>
      </c>
      <c r="N15">
        <f>N16-N14</f>
        <v>28</v>
      </c>
      <c r="O15">
        <f>M15/N15</f>
        <v>65439.178786544369</v>
      </c>
    </row>
    <row r="16" spans="1:20" ht="17.5" x14ac:dyDescent="0.45">
      <c r="A16" s="10" t="s">
        <v>19</v>
      </c>
      <c r="B16" s="9">
        <f>VAR(B6:B13)</f>
        <v>214.26785714285714</v>
      </c>
      <c r="C16" s="9">
        <f>VAR(C6:C13)</f>
        <v>157.55357142857142</v>
      </c>
      <c r="D16" s="9">
        <f>VAR(D6:D13)</f>
        <v>164.57142857142858</v>
      </c>
      <c r="E16" s="9">
        <f>VAR(E6:E13)</f>
        <v>181.55357142857142</v>
      </c>
      <c r="G16" s="19"/>
      <c r="L16" s="18" t="s">
        <v>22</v>
      </c>
      <c r="M16" s="18">
        <f>DEVSQ(G6:J13)</f>
        <v>1847637.2324263032</v>
      </c>
      <c r="N16" s="18">
        <f>COUNT(G6:J13)-1</f>
        <v>31</v>
      </c>
      <c r="O16" s="18">
        <f>M16/N16</f>
        <v>59601.201046009781</v>
      </c>
      <c r="P16" s="18"/>
      <c r="Q16" s="18"/>
      <c r="R16" s="18"/>
      <c r="S16" s="18"/>
      <c r="T16" s="18"/>
    </row>
    <row r="17" spans="1:17" x14ac:dyDescent="0.35">
      <c r="A17" s="10"/>
    </row>
    <row r="18" spans="1:17" x14ac:dyDescent="0.35">
      <c r="A18" s="10"/>
      <c r="P18" t="s">
        <v>6</v>
      </c>
      <c r="Q18" s="3" t="e" cm="1">
        <f t="array" aca="1" ref="Q18" ca="1">OBrienTest(B6:E13)</f>
        <v>#NAME?</v>
      </c>
    </row>
    <row r="23" spans="1:17" x14ac:dyDescent="0.35">
      <c r="F23" s="6"/>
      <c r="G23" s="6"/>
      <c r="H23" s="6"/>
      <c r="I23" s="6"/>
      <c r="J23" s="6"/>
      <c r="K23" s="6"/>
    </row>
    <row r="28" spans="1:17" x14ac:dyDescent="0.35">
      <c r="F28" s="6"/>
      <c r="G28" s="6"/>
      <c r="H28" s="6"/>
      <c r="I28" s="6"/>
      <c r="J28" s="6"/>
      <c r="K28" s="6"/>
    </row>
    <row r="29" spans="1:17" x14ac:dyDescent="0.35">
      <c r="B29" s="6"/>
      <c r="C29" s="6"/>
      <c r="D29" s="6"/>
      <c r="E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89C5-2955-45B8-82FC-CE967BE752B8}">
  <sheetPr codeName="Sheet2"/>
  <dimension ref="A1:R29"/>
  <sheetViews>
    <sheetView workbookViewId="0"/>
  </sheetViews>
  <sheetFormatPr defaultRowHeight="14.5" x14ac:dyDescent="0.35"/>
  <cols>
    <col min="1" max="1" width="6.26953125" customWidth="1"/>
    <col min="6" max="6" width="5.81640625" customWidth="1"/>
    <col min="7" max="7" width="14.6328125" customWidth="1"/>
  </cols>
  <sheetData>
    <row r="1" spans="1:18" x14ac:dyDescent="0.35">
      <c r="A1" s="1" t="s">
        <v>29</v>
      </c>
    </row>
    <row r="2" spans="1:18" x14ac:dyDescent="0.35">
      <c r="A2" s="1"/>
    </row>
    <row r="3" spans="1:18" x14ac:dyDescent="0.35">
      <c r="A3" t="s">
        <v>30</v>
      </c>
      <c r="G3" t="s">
        <v>31</v>
      </c>
    </row>
    <row r="5" spans="1:18" ht="15" thickBot="1" x14ac:dyDescent="0.4">
      <c r="B5" s="2" t="s">
        <v>1</v>
      </c>
      <c r="C5" s="2" t="s">
        <v>2</v>
      </c>
      <c r="D5" s="2" t="s">
        <v>3</v>
      </c>
      <c r="E5" s="2" t="s">
        <v>4</v>
      </c>
      <c r="G5" t="s">
        <v>32</v>
      </c>
      <c r="L5" t="s">
        <v>33</v>
      </c>
      <c r="M5">
        <v>0.05</v>
      </c>
      <c r="Q5" t="s">
        <v>0</v>
      </c>
    </row>
    <row r="6" spans="1:18" ht="15" thickTop="1" x14ac:dyDescent="0.35">
      <c r="B6" s="2">
        <v>102</v>
      </c>
      <c r="C6" s="2">
        <v>82</v>
      </c>
      <c r="D6" s="2">
        <v>79</v>
      </c>
      <c r="E6" s="2">
        <v>85</v>
      </c>
      <c r="G6" s="16" t="s">
        <v>34</v>
      </c>
      <c r="H6" s="16" t="s">
        <v>7</v>
      </c>
      <c r="I6" s="16" t="s">
        <v>8</v>
      </c>
      <c r="J6" s="16" t="s">
        <v>35</v>
      </c>
      <c r="K6" s="16" t="s">
        <v>9</v>
      </c>
      <c r="L6" s="16" t="s">
        <v>15</v>
      </c>
      <c r="M6" s="16" t="s">
        <v>36</v>
      </c>
      <c r="N6" s="16" t="s">
        <v>37</v>
      </c>
      <c r="O6" s="16" t="s">
        <v>38</v>
      </c>
    </row>
    <row r="7" spans="1:18" x14ac:dyDescent="0.35">
      <c r="B7" s="6">
        <v>87</v>
      </c>
      <c r="C7" s="6">
        <v>91</v>
      </c>
      <c r="D7" s="6">
        <v>84</v>
      </c>
      <c r="E7" s="6">
        <v>80</v>
      </c>
      <c r="G7" t="str">
        <f>B20</f>
        <v>Method 1</v>
      </c>
      <c r="H7">
        <f>COUNT(B21:B28)</f>
        <v>8</v>
      </c>
      <c r="I7">
        <f>SUM(B21:B28)</f>
        <v>5463.8571428571422</v>
      </c>
      <c r="J7">
        <f>AVERAGE(B21:B28)</f>
        <v>682.98214285714278</v>
      </c>
      <c r="K7">
        <f>_xlfn.VAR.S(B21:B28)</f>
        <v>472960.65005466464</v>
      </c>
      <c r="L7">
        <f>DEVSQ(B21:B28)</f>
        <v>3310724.5503826519</v>
      </c>
      <c r="M7">
        <f>SQRT(J15/H7)</f>
        <v>142.15083746613976</v>
      </c>
      <c r="N7">
        <f>J7-M7*_xlfn.T.INV.2T(M5,I15)</f>
        <v>391.31271660088805</v>
      </c>
      <c r="O7">
        <f>J7+M7*_xlfn.T.INV.2T(M5,I15)</f>
        <v>974.6515691133975</v>
      </c>
      <c r="Q7" t="s">
        <v>5</v>
      </c>
      <c r="R7" s="4" t="s">
        <v>6</v>
      </c>
    </row>
    <row r="8" spans="1:18" x14ac:dyDescent="0.35">
      <c r="B8" s="6">
        <v>50</v>
      </c>
      <c r="C8" s="6">
        <v>92</v>
      </c>
      <c r="D8" s="6">
        <v>74</v>
      </c>
      <c r="E8" s="6">
        <v>65</v>
      </c>
      <c r="G8" t="str">
        <f>C20</f>
        <v>Method 2</v>
      </c>
      <c r="H8">
        <f>COUNT(C21:C28)</f>
        <v>8</v>
      </c>
      <c r="I8">
        <f>SUM(C21:C28)</f>
        <v>1260.4285714285716</v>
      </c>
      <c r="J8">
        <f>AVERAGE(C21:C28)</f>
        <v>157.55357142857144</v>
      </c>
      <c r="K8">
        <f>_xlfn.VAR.S(C21:C28)</f>
        <v>80321.422649416869</v>
      </c>
      <c r="L8">
        <f>DEVSQ(C21:C28)</f>
        <v>562249.95854591823</v>
      </c>
      <c r="M8">
        <f>SQRT(J15/H8)</f>
        <v>142.15083746613976</v>
      </c>
      <c r="N8">
        <f>J8-M8*_xlfn.T.INV.2T(M5,I15)</f>
        <v>-134.11585482768328</v>
      </c>
      <c r="O8">
        <f>J8+M8*_xlfn.T.INV.2T(M5,I15)</f>
        <v>449.22299768482617</v>
      </c>
      <c r="Q8" t="s">
        <v>10</v>
      </c>
      <c r="R8" s="5" t="e">
        <f ca="1">LEVENE(B6:E13)</f>
        <v>#NAME?</v>
      </c>
    </row>
    <row r="9" spans="1:18" x14ac:dyDescent="0.35">
      <c r="B9" s="6">
        <v>38</v>
      </c>
      <c r="C9" s="6">
        <v>80</v>
      </c>
      <c r="D9" s="6">
        <v>98</v>
      </c>
      <c r="E9" s="6">
        <v>71</v>
      </c>
      <c r="G9" t="str">
        <f>D20</f>
        <v>Method 3</v>
      </c>
      <c r="H9">
        <f>COUNT(D21:D28)</f>
        <v>8</v>
      </c>
      <c r="I9">
        <f>SUM(D21:D28)</f>
        <v>1316.5714285714284</v>
      </c>
      <c r="J9">
        <f>AVERAGE(D21:D28)</f>
        <v>164.57142857142856</v>
      </c>
      <c r="K9">
        <f>_xlfn.VAR.S(D21:D28)</f>
        <v>45836.610301263361</v>
      </c>
      <c r="L9">
        <f>DEVSQ(D21:D28)</f>
        <v>320856.27210884349</v>
      </c>
      <c r="M9">
        <f>SQRT(J15/H9)</f>
        <v>142.15083746613976</v>
      </c>
      <c r="N9">
        <f>J9-M9*_xlfn.T.INV.2T(M5,I15)</f>
        <v>-127.09799768482617</v>
      </c>
      <c r="O9">
        <f>J9+M9*_xlfn.T.INV.2T(M5,I15)</f>
        <v>456.24085482768328</v>
      </c>
      <c r="Q9" t="s">
        <v>11</v>
      </c>
      <c r="R9" s="7" t="e">
        <f ca="1">LEVENE(B6:E13,1)</f>
        <v>#NAME?</v>
      </c>
    </row>
    <row r="10" spans="1:18" x14ac:dyDescent="0.35">
      <c r="B10" s="6">
        <v>79</v>
      </c>
      <c r="C10" s="6">
        <v>52</v>
      </c>
      <c r="D10" s="6">
        <v>63</v>
      </c>
      <c r="E10" s="6">
        <v>67</v>
      </c>
      <c r="G10" t="str">
        <f>E20</f>
        <v>Method 4</v>
      </c>
      <c r="H10">
        <f>COUNT(E21:E28)</f>
        <v>7</v>
      </c>
      <c r="I10">
        <f>SUM(E21:E28)</f>
        <v>887.6666666666664</v>
      </c>
      <c r="J10">
        <f>AVERAGE(E21:E28)</f>
        <v>126.80952380952377</v>
      </c>
      <c r="K10">
        <f>_xlfn.VAR.S(E21:E28)</f>
        <v>28475.184484126989</v>
      </c>
      <c r="L10">
        <f>DEVSQ(E21:E28)</f>
        <v>170851.10690476189</v>
      </c>
      <c r="M10">
        <f>SQRT(J15/H10)</f>
        <v>151.96563744036681</v>
      </c>
      <c r="N10">
        <f>J10-M10*_xlfn.T.INV.2T(M5,I15)</f>
        <v>-184.9982085469999</v>
      </c>
      <c r="O10">
        <f>J10+M10*_xlfn.T.INV.2T(M5,I15)</f>
        <v>438.61725616604747</v>
      </c>
      <c r="Q10" t="s">
        <v>12</v>
      </c>
      <c r="R10" s="8" t="e">
        <f ca="1">LEVENE(B6:E13,-1)</f>
        <v>#NAME?</v>
      </c>
    </row>
    <row r="11" spans="1:18" x14ac:dyDescent="0.35">
      <c r="B11" s="6">
        <v>61</v>
      </c>
      <c r="C11" s="6">
        <v>79</v>
      </c>
      <c r="D11" s="6">
        <v>83</v>
      </c>
      <c r="E11" s="6">
        <v>51</v>
      </c>
      <c r="G11" s="17"/>
      <c r="H11" s="17"/>
      <c r="I11" s="17"/>
      <c r="J11" s="17"/>
      <c r="K11" s="17"/>
      <c r="L11" s="17"/>
      <c r="M11" s="17"/>
      <c r="N11" s="17"/>
      <c r="O11" s="17"/>
    </row>
    <row r="12" spans="1:18" ht="15" thickBot="1" x14ac:dyDescent="0.4">
      <c r="B12" s="6">
        <v>42</v>
      </c>
      <c r="C12" s="6">
        <v>73</v>
      </c>
      <c r="D12" s="6">
        <v>85</v>
      </c>
      <c r="E12" s="6">
        <v>63</v>
      </c>
      <c r="G12" t="s">
        <v>13</v>
      </c>
    </row>
    <row r="13" spans="1:18" ht="15" thickTop="1" x14ac:dyDescent="0.35">
      <c r="B13" s="9">
        <v>28</v>
      </c>
      <c r="C13" s="9">
        <v>74</v>
      </c>
      <c r="D13" s="9">
        <v>58</v>
      </c>
      <c r="E13" s="9"/>
      <c r="G13" s="16" t="s">
        <v>39</v>
      </c>
      <c r="H13" s="16" t="s">
        <v>15</v>
      </c>
      <c r="I13" s="16" t="s">
        <v>16</v>
      </c>
      <c r="J13" s="16" t="s">
        <v>17</v>
      </c>
      <c r="K13" s="16" t="s">
        <v>18</v>
      </c>
      <c r="L13" s="16" t="s">
        <v>40</v>
      </c>
      <c r="M13" s="16" t="s">
        <v>41</v>
      </c>
      <c r="N13" s="16" t="s">
        <v>42</v>
      </c>
      <c r="O13" s="16" t="s">
        <v>43</v>
      </c>
    </row>
    <row r="14" spans="1:18" ht="14.5" customHeight="1" x14ac:dyDescent="0.45">
      <c r="A14" s="6" t="s">
        <v>28</v>
      </c>
      <c r="B14" s="6">
        <f>COUNT(B6:B13)</f>
        <v>8</v>
      </c>
      <c r="C14" s="6">
        <f t="shared" ref="C14:E14" si="0">COUNT(C6:C13)</f>
        <v>8</v>
      </c>
      <c r="D14" s="6">
        <f t="shared" si="0"/>
        <v>8</v>
      </c>
      <c r="E14" s="6">
        <f t="shared" si="0"/>
        <v>7</v>
      </c>
      <c r="G14" t="s">
        <v>20</v>
      </c>
      <c r="H14">
        <f>H16-H15</f>
        <v>1687970.78763441</v>
      </c>
      <c r="I14">
        <f>COUNTA(G7:G10)-1</f>
        <v>3</v>
      </c>
      <c r="J14">
        <f>H14/I14</f>
        <v>562656.92921146995</v>
      </c>
      <c r="K14">
        <f>J14/J15</f>
        <v>3.4806057987131256</v>
      </c>
      <c r="L14">
        <f>_xlfn.F.DIST.RT(K14,I14,I15)</f>
        <v>2.9501148740787519E-2</v>
      </c>
      <c r="M14">
        <f>H14/H16</f>
        <v>0.27888115808224717</v>
      </c>
      <c r="N14">
        <f>SQRT(DEVSQ(J7:J10)/(J15*I14))</f>
        <v>0.66450340833090105</v>
      </c>
      <c r="O14">
        <f>(H16-I16*J15)/(H16+J15)</f>
        <v>0.19358651333916224</v>
      </c>
    </row>
    <row r="15" spans="1:18" ht="16.5" x14ac:dyDescent="0.45">
      <c r="A15" s="10" t="s">
        <v>14</v>
      </c>
      <c r="B15" s="6">
        <f>AVERAGE(B6:B13)</f>
        <v>60.875</v>
      </c>
      <c r="C15" s="6">
        <f>AVERAGE(C6:C13)</f>
        <v>77.875</v>
      </c>
      <c r="D15" s="6">
        <f>AVERAGE(D6:D13)</f>
        <v>78</v>
      </c>
      <c r="E15" s="6">
        <f>AVERAGE(E6:E13)</f>
        <v>68.857142857142861</v>
      </c>
      <c r="G15" t="s">
        <v>21</v>
      </c>
      <c r="H15">
        <f>SUM(L7:L10)</f>
        <v>4364681.8879421754</v>
      </c>
      <c r="I15">
        <f>I16-I14</f>
        <v>27</v>
      </c>
      <c r="J15">
        <f>H15/I15</f>
        <v>161654.8847385991</v>
      </c>
    </row>
    <row r="16" spans="1:18" ht="17.5" x14ac:dyDescent="0.45">
      <c r="A16" s="10" t="s">
        <v>19</v>
      </c>
      <c r="B16" s="9">
        <f>VAR(B6:B13)</f>
        <v>682.98214285714289</v>
      </c>
      <c r="C16" s="9">
        <f>VAR(C6:C13)</f>
        <v>157.55357142857142</v>
      </c>
      <c r="D16" s="9">
        <f>VAR(D6:D13)</f>
        <v>164.57142857142858</v>
      </c>
      <c r="E16" s="9">
        <f>VAR(E6:E13)</f>
        <v>126.80952380952415</v>
      </c>
      <c r="G16" s="18" t="s">
        <v>22</v>
      </c>
      <c r="H16" s="18">
        <f>DEVSQ(B21:E28)</f>
        <v>6052652.6755765853</v>
      </c>
      <c r="I16" s="18">
        <f>COUNT(B21:E28)-1</f>
        <v>30</v>
      </c>
      <c r="J16" s="18">
        <f>H16/I16</f>
        <v>201755.08918588617</v>
      </c>
      <c r="K16" s="18"/>
      <c r="L16" s="18"/>
      <c r="M16" s="18"/>
      <c r="N16" s="18"/>
      <c r="O16" s="18"/>
    </row>
    <row r="17" spans="1:6" x14ac:dyDescent="0.35">
      <c r="A17" s="10"/>
    </row>
    <row r="18" spans="1:6" x14ac:dyDescent="0.35">
      <c r="A18" s="10"/>
      <c r="B18" t="s">
        <v>27</v>
      </c>
    </row>
    <row r="20" spans="1:6" x14ac:dyDescent="0.35">
      <c r="B20" s="12" t="s">
        <v>1</v>
      </c>
      <c r="C20" s="12" t="s">
        <v>2</v>
      </c>
      <c r="D20" s="12" t="s">
        <v>3</v>
      </c>
      <c r="E20" s="12" t="s">
        <v>4</v>
      </c>
    </row>
    <row r="21" spans="1:6" x14ac:dyDescent="0.35">
      <c r="B21" s="15">
        <f>IF(ISNUMBER(B6),B$14*(B$14-1.5)*(B6-B$15)^2/((B$14-1)*(B$14-2))-B$16/(2*(B$14-2)),"")</f>
        <v>2037.0327380952378</v>
      </c>
      <c r="C21" s="15">
        <f t="shared" ref="C21:E21" si="1">IF(ISNUMBER(C6),C$14*(C$14-1.5)*(C6-C$15)^2/((C$14-1)*(C$14-2))-C$16/(2*(C$14-2)),"")</f>
        <v>7.9375</v>
      </c>
      <c r="D21" s="15">
        <f t="shared" si="1"/>
        <v>-12.476190476190478</v>
      </c>
      <c r="E21" s="15">
        <f t="shared" si="1"/>
        <v>321.74523809523788</v>
      </c>
    </row>
    <row r="22" spans="1:6" x14ac:dyDescent="0.35">
      <c r="B22" s="15">
        <f t="shared" ref="B22:E28" si="2">IF(ISNUMBER(B7),B$14*(B$14-1.5)*(B7-B$15)^2/((B$14-1)*(B$14-2))-B$16/(2*(B$14-2)),"")</f>
        <v>788.10416666666663</v>
      </c>
      <c r="C22" s="15">
        <f t="shared" si="2"/>
        <v>200.15178571428572</v>
      </c>
      <c r="D22" s="15">
        <f t="shared" si="2"/>
        <v>30.857142857142854</v>
      </c>
      <c r="E22" s="15">
        <f t="shared" si="2"/>
        <v>146.66190476190462</v>
      </c>
    </row>
    <row r="23" spans="1:6" x14ac:dyDescent="0.35">
      <c r="B23" s="15">
        <f t="shared" si="2"/>
        <v>89.508928571428555</v>
      </c>
      <c r="C23" s="15">
        <f t="shared" si="2"/>
        <v>233.88988095238096</v>
      </c>
      <c r="D23" s="15">
        <f t="shared" si="2"/>
        <v>6.0952380952380949</v>
      </c>
      <c r="E23" s="15">
        <f t="shared" si="2"/>
        <v>6.4119047619047649</v>
      </c>
      <c r="F23" s="6"/>
    </row>
    <row r="24" spans="1:6" x14ac:dyDescent="0.35">
      <c r="B24" s="15">
        <f t="shared" si="2"/>
        <v>590.9375</v>
      </c>
      <c r="C24" s="15">
        <f t="shared" si="2"/>
        <v>-7.5386904761904754</v>
      </c>
      <c r="D24" s="15">
        <f t="shared" si="2"/>
        <v>481.52380952380952</v>
      </c>
      <c r="E24" s="15">
        <f t="shared" si="2"/>
        <v>-6.7880952380952948</v>
      </c>
    </row>
    <row r="25" spans="1:6" x14ac:dyDescent="0.35">
      <c r="B25" s="15">
        <f t="shared" si="2"/>
        <v>349.81845238095241</v>
      </c>
      <c r="C25" s="15">
        <f t="shared" si="2"/>
        <v>815.79464285714278</v>
      </c>
      <c r="D25" s="15">
        <f t="shared" si="2"/>
        <v>264.85714285714283</v>
      </c>
      <c r="E25" s="15">
        <f t="shared" si="2"/>
        <v>-8.2547619047619207</v>
      </c>
    </row>
    <row r="26" spans="1:6" x14ac:dyDescent="0.35">
      <c r="B26" s="15">
        <f t="shared" si="2"/>
        <v>-56.895833333333336</v>
      </c>
      <c r="C26" s="15">
        <f t="shared" si="2"/>
        <v>-11.562499999999998</v>
      </c>
      <c r="D26" s="15">
        <f t="shared" si="2"/>
        <v>17.238095238095237</v>
      </c>
      <c r="E26" s="15">
        <f t="shared" si="2"/>
        <v>396.54523809523823</v>
      </c>
    </row>
    <row r="27" spans="1:6" x14ac:dyDescent="0.35">
      <c r="B27" s="15">
        <f t="shared" si="2"/>
        <v>384.17559523809524</v>
      </c>
      <c r="C27" s="15">
        <f t="shared" si="2"/>
        <v>16.294642857142858</v>
      </c>
      <c r="D27" s="15">
        <f t="shared" si="2"/>
        <v>46.952380952380949</v>
      </c>
      <c r="E27" s="15">
        <f t="shared" si="2"/>
        <v>31.34523809523812</v>
      </c>
    </row>
    <row r="28" spans="1:6" x14ac:dyDescent="0.35">
      <c r="B28" s="11">
        <f t="shared" si="2"/>
        <v>1281.1755952380952</v>
      </c>
      <c r="C28" s="11">
        <f t="shared" si="2"/>
        <v>5.4613095238095255</v>
      </c>
      <c r="D28" s="11">
        <f t="shared" si="2"/>
        <v>481.52380952380952</v>
      </c>
      <c r="E28" s="11" t="str">
        <f t="shared" si="2"/>
        <v/>
      </c>
      <c r="F28" s="6"/>
    </row>
    <row r="29" spans="1:6" x14ac:dyDescent="0.35">
      <c r="B29" s="6"/>
      <c r="C29" s="6"/>
      <c r="D29" s="6"/>
      <c r="E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2023-01-14T19:13:20Z</dcterms:created>
  <dcterms:modified xsi:type="dcterms:W3CDTF">2023-09-04T07:38:14Z</dcterms:modified>
</cp:coreProperties>
</file>