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9D4FE08C-D86E-4BD7-A2E5-F7AEBAD6BFCA}" xr6:coauthVersionLast="47" xr6:coauthVersionMax="47" xr10:uidLastSave="{00000000-0000-0000-0000-000000000000}"/>
  <bookViews>
    <workbookView xWindow="-110" yWindow="-110" windowWidth="19420" windowHeight="10300" xr2:uid="{B7252A44-2D3A-4314-AFEC-779A90EDCE01}"/>
  </bookViews>
  <sheets>
    <sheet name="Title" sheetId="7" r:id="rId1"/>
    <sheet name="MoM 1a" sheetId="1" r:id="rId2"/>
    <sheet name="MoM 1" sheetId="2" r:id="rId3"/>
    <sheet name="MoM 2a" sheetId="6" r:id="rId4"/>
    <sheet name="MoM 2b" sheetId="3" r:id="rId5"/>
    <sheet name="MLE 1" sheetId="4" r:id="rId6"/>
    <sheet name="MLE 2" sheetId="5" r:id="rId7"/>
  </sheets>
  <definedNames>
    <definedName name="solver_adj" localSheetId="6" hidden="1">'MLE 2'!$M$2:$M$4</definedName>
    <definedName name="solver_adj" localSheetId="2" hidden="1">'MoM 1'!$M$2:$M$4</definedName>
    <definedName name="solver_adj" localSheetId="1" hidden="1">'MoM 1a'!$M$2:$M$4</definedName>
    <definedName name="solver_adj" localSheetId="4" hidden="1">'MoM 2b'!$M$2:$M$4</definedName>
    <definedName name="solver_cvg" localSheetId="6" hidden="1">0.0001</definedName>
    <definedName name="solver_cvg" localSheetId="2" hidden="1">0.0001</definedName>
    <definedName name="solver_cvg" localSheetId="1" hidden="1">0.0001</definedName>
    <definedName name="solver_cvg" localSheetId="4" hidden="1">0.0001</definedName>
    <definedName name="solver_drv" localSheetId="6" hidden="1">1</definedName>
    <definedName name="solver_drv" localSheetId="2" hidden="1">1</definedName>
    <definedName name="solver_drv" localSheetId="1" hidden="1">1</definedName>
    <definedName name="solver_drv" localSheetId="4" hidden="1">1</definedName>
    <definedName name="solver_eng" localSheetId="5" hidden="1">1</definedName>
    <definedName name="solver_eng" localSheetId="6" hidden="1">1</definedName>
    <definedName name="solver_eng" localSheetId="2" hidden="1">1</definedName>
    <definedName name="solver_eng" localSheetId="1" hidden="1">1</definedName>
    <definedName name="solver_eng" localSheetId="4" hidden="1">1</definedName>
    <definedName name="solver_est" localSheetId="6" hidden="1">1</definedName>
    <definedName name="solver_est" localSheetId="2" hidden="1">1</definedName>
    <definedName name="solver_est" localSheetId="1" hidden="1">1</definedName>
    <definedName name="solver_est" localSheetId="4" hidden="1">1</definedName>
    <definedName name="solver_itr" localSheetId="6" hidden="1">2147483647</definedName>
    <definedName name="solver_itr" localSheetId="2" hidden="1">2147483647</definedName>
    <definedName name="solver_itr" localSheetId="1" hidden="1">2147483647</definedName>
    <definedName name="solver_itr" localSheetId="4" hidden="1">2147483647</definedName>
    <definedName name="solver_lhs1" localSheetId="6" hidden="1">'MLE 2'!$J$7</definedName>
    <definedName name="solver_lhs1" localSheetId="2" hidden="1">'MoM 1'!$J$7</definedName>
    <definedName name="solver_lhs1" localSheetId="4" hidden="1">'MoM 2b'!$J$7</definedName>
    <definedName name="solver_lhs2" localSheetId="6" hidden="1">'MLE 2'!$M$2</definedName>
    <definedName name="solver_lhs2" localSheetId="2" hidden="1">'MoM 1'!$M$2</definedName>
    <definedName name="solver_lhs2" localSheetId="4" hidden="1">'MoM 2b'!$M$2</definedName>
    <definedName name="solver_lhs3" localSheetId="6" hidden="1">'MLE 2'!$M$2</definedName>
    <definedName name="solver_lhs3" localSheetId="2" hidden="1">'MoM 1'!$M$2</definedName>
    <definedName name="solver_lhs3" localSheetId="4" hidden="1">'MoM 2b'!$M$2</definedName>
    <definedName name="solver_lhs4" localSheetId="6" hidden="1">'MLE 2'!$M$3</definedName>
    <definedName name="solver_lhs4" localSheetId="2" hidden="1">'MoM 1'!$M$3</definedName>
    <definedName name="solver_lhs4" localSheetId="4" hidden="1">'MoM 2b'!$M$3</definedName>
    <definedName name="solver_mip" localSheetId="6" hidden="1">2147483647</definedName>
    <definedName name="solver_mip" localSheetId="2" hidden="1">2147483647</definedName>
    <definedName name="solver_mip" localSheetId="1" hidden="1">2147483647</definedName>
    <definedName name="solver_mip" localSheetId="4" hidden="1">2147483647</definedName>
    <definedName name="solver_mni" localSheetId="6" hidden="1">30</definedName>
    <definedName name="solver_mni" localSheetId="2" hidden="1">30</definedName>
    <definedName name="solver_mni" localSheetId="1" hidden="1">30</definedName>
    <definedName name="solver_mni" localSheetId="4" hidden="1">30</definedName>
    <definedName name="solver_mrt" localSheetId="6" hidden="1">0.075</definedName>
    <definedName name="solver_mrt" localSheetId="2" hidden="1">0.075</definedName>
    <definedName name="solver_mrt" localSheetId="1" hidden="1">0.075</definedName>
    <definedName name="solver_mrt" localSheetId="4" hidden="1">0.075</definedName>
    <definedName name="solver_msl" localSheetId="6" hidden="1">2</definedName>
    <definedName name="solver_msl" localSheetId="2" hidden="1">2</definedName>
    <definedName name="solver_msl" localSheetId="1" hidden="1">2</definedName>
    <definedName name="solver_msl" localSheetId="4" hidden="1">2</definedName>
    <definedName name="solver_neg" localSheetId="5" hidden="1">1</definedName>
    <definedName name="solver_neg" localSheetId="6" hidden="1">2</definedName>
    <definedName name="solver_neg" localSheetId="2" hidden="1">2</definedName>
    <definedName name="solver_neg" localSheetId="1" hidden="1">2</definedName>
    <definedName name="solver_neg" localSheetId="4" hidden="1">2</definedName>
    <definedName name="solver_nod" localSheetId="6" hidden="1">2147483647</definedName>
    <definedName name="solver_nod" localSheetId="2" hidden="1">2147483647</definedName>
    <definedName name="solver_nod" localSheetId="1" hidden="1">2147483647</definedName>
    <definedName name="solver_nod" localSheetId="4" hidden="1">2147483647</definedName>
    <definedName name="solver_num" localSheetId="5" hidden="1">0</definedName>
    <definedName name="solver_num" localSheetId="6" hidden="1">4</definedName>
    <definedName name="solver_num" localSheetId="2" hidden="1">4</definedName>
    <definedName name="solver_num" localSheetId="1" hidden="1">0</definedName>
    <definedName name="solver_num" localSheetId="4" hidden="1">4</definedName>
    <definedName name="solver_nwt" localSheetId="6" hidden="1">1</definedName>
    <definedName name="solver_nwt" localSheetId="2" hidden="1">1</definedName>
    <definedName name="solver_nwt" localSheetId="1" hidden="1">1</definedName>
    <definedName name="solver_nwt" localSheetId="4" hidden="1">1</definedName>
    <definedName name="solver_opt" localSheetId="5" hidden="1">'MLE 1'!$S$10</definedName>
    <definedName name="solver_opt" localSheetId="6" hidden="1">'MLE 2'!$M$14</definedName>
    <definedName name="solver_opt" localSheetId="2" hidden="1">'MoM 1'!$M$12</definedName>
    <definedName name="solver_opt" localSheetId="1" hidden="1">'MoM 1a'!$M$12</definedName>
    <definedName name="solver_opt" localSheetId="4" hidden="1">'MoM 2b'!$M$12</definedName>
    <definedName name="solver_pre" localSheetId="6" hidden="1">0.000001</definedName>
    <definedName name="solver_pre" localSheetId="2" hidden="1">0.000001</definedName>
    <definedName name="solver_pre" localSheetId="1" hidden="1">0.000001</definedName>
    <definedName name="solver_pre" localSheetId="4" hidden="1">0.000001</definedName>
    <definedName name="solver_rbv" localSheetId="6" hidden="1">1</definedName>
    <definedName name="solver_rbv" localSheetId="2" hidden="1">1</definedName>
    <definedName name="solver_rbv" localSheetId="1" hidden="1">1</definedName>
    <definedName name="solver_rbv" localSheetId="4" hidden="1">1</definedName>
    <definedName name="solver_rel1" localSheetId="6" hidden="1">1</definedName>
    <definedName name="solver_rel1" localSheetId="2" hidden="1">1</definedName>
    <definedName name="solver_rel1" localSheetId="4" hidden="1">1</definedName>
    <definedName name="solver_rel2" localSheetId="6" hidden="1">1</definedName>
    <definedName name="solver_rel2" localSheetId="2" hidden="1">1</definedName>
    <definedName name="solver_rel2" localSheetId="4" hidden="1">1</definedName>
    <definedName name="solver_rel3" localSheetId="6" hidden="1">1</definedName>
    <definedName name="solver_rel3" localSheetId="2" hidden="1">1</definedName>
    <definedName name="solver_rel3" localSheetId="4" hidden="1">1</definedName>
    <definedName name="solver_rel4" localSheetId="6" hidden="1">1</definedName>
    <definedName name="solver_rel4" localSheetId="2" hidden="1">1</definedName>
    <definedName name="solver_rel4" localSheetId="4" hidden="1">1</definedName>
    <definedName name="solver_rhs1" localSheetId="6" hidden="1">'MLE 2'!$M$4</definedName>
    <definedName name="solver_rhs1" localSheetId="2" hidden="1">'MoM 1'!$M$4</definedName>
    <definedName name="solver_rhs1" localSheetId="4" hidden="1">'MoM 2b'!$M$4</definedName>
    <definedName name="solver_rhs2" localSheetId="6" hidden="1">'MLE 2'!$J$6</definedName>
    <definedName name="solver_rhs2" localSheetId="2" hidden="1">'MoM 1'!$J$6</definedName>
    <definedName name="solver_rhs2" localSheetId="4" hidden="1">'MoM 2b'!$J$6</definedName>
    <definedName name="solver_rhs3" localSheetId="6" hidden="1">'MLE 2'!$M$3</definedName>
    <definedName name="solver_rhs3" localSheetId="2" hidden="1">'MoM 1'!$M$3</definedName>
    <definedName name="solver_rhs3" localSheetId="4" hidden="1">'MoM 2b'!$M$3</definedName>
    <definedName name="solver_rhs4" localSheetId="6" hidden="1">'MLE 2'!$M$4</definedName>
    <definedName name="solver_rhs4" localSheetId="2" hidden="1">'MoM 1'!$M$4</definedName>
    <definedName name="solver_rhs4" localSheetId="4" hidden="1">'MoM 2b'!$M$4</definedName>
    <definedName name="solver_rlx" localSheetId="6" hidden="1">2</definedName>
    <definedName name="solver_rlx" localSheetId="2" hidden="1">2</definedName>
    <definedName name="solver_rlx" localSheetId="1" hidden="1">2</definedName>
    <definedName name="solver_rlx" localSheetId="4" hidden="1">2</definedName>
    <definedName name="solver_rsd" localSheetId="6" hidden="1">0</definedName>
    <definedName name="solver_rsd" localSheetId="2" hidden="1">0</definedName>
    <definedName name="solver_rsd" localSheetId="1" hidden="1">0</definedName>
    <definedName name="solver_rsd" localSheetId="4" hidden="1">0</definedName>
    <definedName name="solver_scl" localSheetId="6" hidden="1">1</definedName>
    <definedName name="solver_scl" localSheetId="2" hidden="1">1</definedName>
    <definedName name="solver_scl" localSheetId="1" hidden="1">1</definedName>
    <definedName name="solver_scl" localSheetId="4" hidden="1">1</definedName>
    <definedName name="solver_sho" localSheetId="6" hidden="1">2</definedName>
    <definedName name="solver_sho" localSheetId="2" hidden="1">2</definedName>
    <definedName name="solver_sho" localSheetId="1" hidden="1">2</definedName>
    <definedName name="solver_sho" localSheetId="4" hidden="1">2</definedName>
    <definedName name="solver_ssz" localSheetId="6" hidden="1">100</definedName>
    <definedName name="solver_ssz" localSheetId="2" hidden="1">100</definedName>
    <definedName name="solver_ssz" localSheetId="1" hidden="1">100</definedName>
    <definedName name="solver_ssz" localSheetId="4" hidden="1">100</definedName>
    <definedName name="solver_tim" localSheetId="6" hidden="1">2147483647</definedName>
    <definedName name="solver_tim" localSheetId="2" hidden="1">2147483647</definedName>
    <definedName name="solver_tim" localSheetId="1" hidden="1">2147483647</definedName>
    <definedName name="solver_tim" localSheetId="4" hidden="1">2147483647</definedName>
    <definedName name="solver_tol" localSheetId="6" hidden="1">0.01</definedName>
    <definedName name="solver_tol" localSheetId="2" hidden="1">0.01</definedName>
    <definedName name="solver_tol" localSheetId="1" hidden="1">0.01</definedName>
    <definedName name="solver_tol" localSheetId="4" hidden="1">0.01</definedName>
    <definedName name="solver_typ" localSheetId="5" hidden="1">1</definedName>
    <definedName name="solver_typ" localSheetId="6" hidden="1">1</definedName>
    <definedName name="solver_typ" localSheetId="2" hidden="1">2</definedName>
    <definedName name="solver_typ" localSheetId="1" hidden="1">2</definedName>
    <definedName name="solver_typ" localSheetId="4" hidden="1">2</definedName>
    <definedName name="solver_val" localSheetId="5" hidden="1">0</definedName>
    <definedName name="solver_val" localSheetId="6" hidden="1">0</definedName>
    <definedName name="solver_val" localSheetId="2" hidden="1">0</definedName>
    <definedName name="solver_val" localSheetId="1" hidden="1">0</definedName>
    <definedName name="solver_val" localSheetId="4" hidden="1">0</definedName>
    <definedName name="solver_ver" localSheetId="5" hidden="1">3</definedName>
    <definedName name="solver_ver" localSheetId="6" hidden="1">3</definedName>
    <definedName name="solver_ver" localSheetId="2" hidden="1">3</definedName>
    <definedName name="solver_ver" localSheetId="1" hidden="1">3</definedName>
    <definedName name="solver_ver" localSheetId="4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5" l="1" a="1"/>
  <c r="O17" i="5" s="1"/>
  <c r="O16" i="5"/>
  <c r="O16" i="5" a="1"/>
  <c r="O15" i="5" a="1"/>
  <c r="O15" i="5" s="1"/>
  <c r="O14" i="5" a="1"/>
  <c r="O14" i="5" s="1"/>
  <c r="M14" i="5" a="1"/>
  <c r="M14" i="5" s="1"/>
  <c r="X2" i="5" a="1"/>
  <c r="X2" i="5" s="1"/>
  <c r="U2" i="5" a="1"/>
  <c r="U2" i="5" s="1"/>
  <c r="R2" i="5" a="1"/>
  <c r="R2" i="5" s="1"/>
  <c r="O2" i="5" a="1"/>
  <c r="O2" i="5" s="1"/>
  <c r="M14" i="4" a="1"/>
  <c r="M14" i="4" s="1"/>
  <c r="Q17" i="3" a="1"/>
  <c r="Q17" i="3" s="1"/>
  <c r="Q16" i="3" a="1"/>
  <c r="Q16" i="3" s="1"/>
  <c r="Q15" i="3" a="1"/>
  <c r="Q15" i="3" s="1"/>
  <c r="Q14" i="3" a="1"/>
  <c r="Q14" i="3" s="1"/>
  <c r="O13" i="3" a="1"/>
  <c r="O13" i="3" s="1"/>
  <c r="O12" i="3" a="1"/>
  <c r="O12" i="3" s="1"/>
  <c r="O11" i="3" a="1"/>
  <c r="O11" i="3" s="1"/>
  <c r="O10" i="3"/>
  <c r="O10" i="3" a="1"/>
  <c r="O9" i="3" a="1"/>
  <c r="O9" i="3" s="1"/>
  <c r="O8" i="3" a="1"/>
  <c r="O8" i="3" s="1"/>
  <c r="O7" i="3" a="1"/>
  <c r="O7" i="3" s="1"/>
  <c r="O6" i="3" a="1"/>
  <c r="O6" i="3" s="1"/>
  <c r="O5" i="3" a="1"/>
  <c r="O5" i="3" s="1"/>
  <c r="Z2" i="3" a="1"/>
  <c r="Z2" i="3" s="1"/>
  <c r="W2" i="3" a="1"/>
  <c r="W2" i="3" s="1"/>
  <c r="T2" i="3"/>
  <c r="T2" i="3" a="1"/>
  <c r="Q2" i="3" a="1"/>
  <c r="Q2" i="3" s="1"/>
  <c r="O13" i="6" a="1"/>
  <c r="O13" i="6" s="1"/>
  <c r="O12" i="6" a="1"/>
  <c r="O12" i="6" s="1"/>
  <c r="O11" i="6" a="1"/>
  <c r="O11" i="6" s="1"/>
  <c r="O10" i="6" a="1"/>
  <c r="O10" i="6" s="1"/>
  <c r="O9" i="6" a="1"/>
  <c r="O9" i="6" s="1"/>
  <c r="O8" i="6" a="1"/>
  <c r="O8" i="6" s="1"/>
  <c r="O7" i="6" a="1"/>
  <c r="O7" i="6" s="1"/>
  <c r="O6" i="6" a="1"/>
  <c r="O6" i="6" s="1"/>
  <c r="O5" i="6" a="1"/>
  <c r="O5" i="6" s="1"/>
  <c r="Q17" i="2" a="1"/>
  <c r="Q17" i="2" s="1"/>
  <c r="Q16" i="2" a="1"/>
  <c r="Q16" i="2" s="1"/>
  <c r="Q15" i="2" a="1"/>
  <c r="Q15" i="2" s="1"/>
  <c r="Q14" i="2" a="1"/>
  <c r="Q14" i="2" s="1"/>
  <c r="O14" i="2" a="1"/>
  <c r="O14" i="2" s="1"/>
  <c r="M14" i="2"/>
  <c r="M14" i="2" a="1"/>
  <c r="O12" i="2" a="1"/>
  <c r="O12" i="2" s="1"/>
  <c r="O10" i="2" a="1"/>
  <c r="O10" i="2" s="1"/>
  <c r="O9" i="2" a="1"/>
  <c r="O9" i="2" s="1"/>
  <c r="O8" i="2" a="1"/>
  <c r="O8" i="2" s="1"/>
  <c r="O6" i="2" a="1"/>
  <c r="O6" i="2" s="1"/>
  <c r="O5" i="2" a="1"/>
  <c r="O5" i="2" s="1"/>
  <c r="O4" i="2" a="1"/>
  <c r="O4" i="2" s="1"/>
  <c r="O3" i="2"/>
  <c r="O3" i="2" a="1"/>
  <c r="Z2" i="2" a="1"/>
  <c r="Z2" i="2" s="1"/>
  <c r="W2" i="2" a="1"/>
  <c r="W2" i="2" s="1"/>
  <c r="T2" i="2" a="1"/>
  <c r="T2" i="2" s="1"/>
  <c r="Q2" i="2" a="1"/>
  <c r="Q2" i="2" s="1"/>
  <c r="O2" i="2" a="1"/>
  <c r="O2" i="2" s="1"/>
  <c r="O13" i="1" a="1"/>
  <c r="O13" i="1" s="1"/>
  <c r="O12" i="1" a="1"/>
  <c r="O12" i="1" s="1"/>
  <c r="O11" i="1"/>
  <c r="O11" i="1" a="1"/>
  <c r="O10" i="1" a="1"/>
  <c r="O10" i="1" s="1"/>
  <c r="O9" i="1" a="1"/>
  <c r="O9" i="1" s="1"/>
  <c r="O8" i="1" a="1"/>
  <c r="O8" i="1" s="1"/>
  <c r="O7" i="1" a="1"/>
  <c r="O7" i="1" s="1"/>
  <c r="O6" i="1" a="1"/>
  <c r="O6" i="1" s="1"/>
  <c r="O5" i="1" a="1"/>
  <c r="O5" i="1" s="1"/>
  <c r="M9" i="6" l="1"/>
  <c r="M8" i="6"/>
  <c r="J7" i="6"/>
  <c r="M6" i="6"/>
  <c r="J6" i="6"/>
  <c r="M5" i="6"/>
  <c r="M10" i="6" s="1"/>
  <c r="J5" i="6"/>
  <c r="J4" i="6"/>
  <c r="J3" i="6"/>
  <c r="J2" i="6"/>
  <c r="M26" i="6" l="1"/>
  <c r="M25" i="6"/>
  <c r="M12" i="6"/>
  <c r="M24" i="6"/>
  <c r="M27" i="6" l="1"/>
  <c r="M29" i="6" s="1"/>
  <c r="M28" i="6" l="1"/>
  <c r="M9" i="5" l="1"/>
  <c r="M8" i="5"/>
  <c r="M24" i="5" s="1"/>
  <c r="J7" i="5"/>
  <c r="M6" i="5"/>
  <c r="J6" i="5"/>
  <c r="M5" i="5"/>
  <c r="J5" i="5"/>
  <c r="J4" i="5"/>
  <c r="J3" i="5"/>
  <c r="J2" i="5"/>
  <c r="M9" i="4"/>
  <c r="M8" i="4"/>
  <c r="M24" i="4" s="1"/>
  <c r="J7" i="4"/>
  <c r="M6" i="4"/>
  <c r="J6" i="4"/>
  <c r="M5" i="4"/>
  <c r="J5" i="4"/>
  <c r="J4" i="4"/>
  <c r="J3" i="4"/>
  <c r="J2" i="4"/>
  <c r="R23" i="3"/>
  <c r="R24" i="3" s="1"/>
  <c r="M9" i="3"/>
  <c r="M8" i="3"/>
  <c r="R25" i="3" s="1"/>
  <c r="J7" i="3"/>
  <c r="M6" i="3"/>
  <c r="J6" i="3"/>
  <c r="M5" i="3"/>
  <c r="J5" i="3"/>
  <c r="J4" i="3"/>
  <c r="J3" i="3"/>
  <c r="J2" i="3"/>
  <c r="J7" i="2"/>
  <c r="J6" i="2"/>
  <c r="J5" i="2"/>
  <c r="J4" i="2"/>
  <c r="J3" i="2"/>
  <c r="M4" i="2" s="1"/>
  <c r="J2" i="2"/>
  <c r="M9" i="1"/>
  <c r="M8" i="1"/>
  <c r="M6" i="1"/>
  <c r="M5" i="1"/>
  <c r="J7" i="1"/>
  <c r="J6" i="1"/>
  <c r="J5" i="1"/>
  <c r="J4" i="1"/>
  <c r="J3" i="1"/>
  <c r="J2" i="1"/>
  <c r="M10" i="5" l="1"/>
  <c r="M26" i="5" s="1"/>
  <c r="M10" i="4"/>
  <c r="M26" i="4" s="1"/>
  <c r="M2" i="2"/>
  <c r="M9" i="2" s="1"/>
  <c r="M24" i="3"/>
  <c r="R26" i="3"/>
  <c r="R27" i="3"/>
  <c r="M10" i="1"/>
  <c r="M12" i="1" s="1"/>
  <c r="M10" i="3"/>
  <c r="M12" i="5" l="1"/>
  <c r="M25" i="5"/>
  <c r="M27" i="5" s="1"/>
  <c r="M28" i="5" s="1"/>
  <c r="M25" i="4"/>
  <c r="M27" i="4" s="1"/>
  <c r="M29" i="4" s="1"/>
  <c r="M12" i="4"/>
  <c r="M3" i="2"/>
  <c r="M5" i="2" s="1"/>
  <c r="M12" i="3"/>
  <c r="M26" i="3"/>
  <c r="M25" i="3"/>
  <c r="M29" i="5" l="1"/>
  <c r="M28" i="4"/>
  <c r="M8" i="2"/>
  <c r="M6" i="2"/>
  <c r="M10" i="2" s="1"/>
  <c r="M12" i="2" s="1"/>
  <c r="M27" i="3"/>
  <c r="M28" i="3" s="1"/>
  <c r="M29" i="3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<sst xmlns="http://schemas.openxmlformats.org/spreadsheetml/2006/main" count="97" uniqueCount="17">
  <si>
    <t>mean</t>
  </si>
  <si>
    <t>var</t>
  </si>
  <si>
    <t>skew</t>
  </si>
  <si>
    <t>median</t>
  </si>
  <si>
    <t>min</t>
  </si>
  <si>
    <t>max</t>
  </si>
  <si>
    <t>a</t>
  </si>
  <si>
    <t>b</t>
  </si>
  <si>
    <t>c</t>
  </si>
  <si>
    <t>α</t>
  </si>
  <si>
    <t>β</t>
  </si>
  <si>
    <t>sumsq</t>
  </si>
  <si>
    <t>mle</t>
  </si>
  <si>
    <t>Real Statistics Using Excel</t>
  </si>
  <si>
    <t>Updated</t>
  </si>
  <si>
    <t>Copyright © 2013 - 2023 Charles Zaiontz</t>
  </si>
  <si>
    <t>Fitting a PERT Distribution MoM MLE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</si>
</sst>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/>
    <xf numFmtId="0" fontId="0" fillId="0" borderId="1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425450</xdr:colOff>
      <xdr:row>22</xdr:row>
      <xdr:rowOff>25400</xdr:rowOff>
    </xdr:from>
    <xdr:to>
      <xdr:col>8</xdr:col>
      <xdr:colOff>457352</xdr:colOff>
      <xdr:row>23</xdr:row>
      <xdr:rowOff>95263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91BFE7-E9F3-4D06-8B9D-F78E5BE93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4076700"/>
          <a:ext cx="2952902" cy="25401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5</xdr:col>
      <xdr:colOff>425535</xdr:colOff>
      <xdr:row>26</xdr:row>
      <xdr:rowOff>171478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205237-50B9-44BB-B934-0808D5FE3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5250" y="4419600"/>
          <a:ext cx="1644735" cy="53977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10</xdr:col>
      <xdr:colOff>158821</xdr:colOff>
      <xdr:row>27</xdr:row>
      <xdr:rowOff>133376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EA33D6-A1AA-4269-9B95-C6441A642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27500" y="4603750"/>
          <a:ext cx="1378021" cy="5016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425450</xdr:colOff>
      <xdr:row>22</xdr:row>
      <xdr:rowOff>25400</xdr:rowOff>
    </xdr:from>
    <xdr:to>
      <xdr:col>9</xdr:col>
      <xdr:colOff>6502</xdr:colOff>
      <xdr:row>23</xdr:row>
      <xdr:rowOff>95263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6C48DA-86AA-A89F-8E83-54D0A7456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4076700"/>
          <a:ext cx="2952902" cy="25401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5</xdr:col>
      <xdr:colOff>425535</xdr:colOff>
      <xdr:row>26</xdr:row>
      <xdr:rowOff>171478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7EF780-A30D-D2BA-0B74-FED8AF9E4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5250" y="4419600"/>
          <a:ext cx="1644735" cy="53977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10</xdr:col>
      <xdr:colOff>158821</xdr:colOff>
      <xdr:row>27</xdr:row>
      <xdr:rowOff>133376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5F8C169-679C-B809-93F8-BD214FF0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27500" y="4603750"/>
          <a:ext cx="1378021" cy="501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425450</xdr:colOff>
      <xdr:row>22</xdr:row>
      <xdr:rowOff>25400</xdr:rowOff>
    </xdr:from>
    <xdr:to>
      <xdr:col>8</xdr:col>
      <xdr:colOff>330352</xdr:colOff>
      <xdr:row>23</xdr:row>
      <xdr:rowOff>95263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EFE9DD-8BC8-4E0D-81FE-9494F0B92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4076700"/>
          <a:ext cx="2952902" cy="25401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5</xdr:col>
      <xdr:colOff>425535</xdr:colOff>
      <xdr:row>26</xdr:row>
      <xdr:rowOff>171478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F0205F-919F-49AD-9FCF-0B9FB1D45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5250" y="4419600"/>
          <a:ext cx="1644735" cy="53977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10</xdr:col>
      <xdr:colOff>158821</xdr:colOff>
      <xdr:row>27</xdr:row>
      <xdr:rowOff>133376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EFF59F-272C-43F2-9601-CDED1D7F9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27500" y="4603750"/>
          <a:ext cx="1378021" cy="501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425450</xdr:colOff>
      <xdr:row>22</xdr:row>
      <xdr:rowOff>25400</xdr:rowOff>
    </xdr:from>
    <xdr:to>
      <xdr:col>8</xdr:col>
      <xdr:colOff>330352</xdr:colOff>
      <xdr:row>23</xdr:row>
      <xdr:rowOff>95263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FEFF21-C6C9-406E-AB8A-34066DA27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4076700"/>
          <a:ext cx="2667152" cy="25401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5</xdr:col>
      <xdr:colOff>425535</xdr:colOff>
      <xdr:row>26</xdr:row>
      <xdr:rowOff>171478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E44BD-11F4-44FB-AA16-64B4D67D0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5250" y="4419600"/>
          <a:ext cx="1644735" cy="53977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10</xdr:col>
      <xdr:colOff>158821</xdr:colOff>
      <xdr:row>27</xdr:row>
      <xdr:rowOff>133376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3183310-1054-4BBA-B536-60D261ECC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27500" y="4603750"/>
          <a:ext cx="1378021" cy="501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87196-F71B-47CE-B235-9D89C9B2BC5F}">
  <sheetPr codeName="Sheet7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13</v>
      </c>
    </row>
    <row r="2" spans="1:2" x14ac:dyDescent="0.35">
      <c r="A2" t="s">
        <v>16</v>
      </c>
    </row>
    <row r="4" spans="1:2" x14ac:dyDescent="0.35">
      <c r="A4" t="s">
        <v>14</v>
      </c>
      <c r="B4" s="15">
        <v>45130</v>
      </c>
    </row>
    <row r="6" spans="1:2" x14ac:dyDescent="0.35">
      <c r="A6" s="16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C7C07-BC04-4359-8FEB-23C2A06EEA02}">
  <sheetPr codeName="Sheet1"/>
  <dimension ref="B2:O13"/>
  <sheetViews>
    <sheetView workbookViewId="0"/>
  </sheetViews>
  <sheetFormatPr defaultRowHeight="14.5" x14ac:dyDescent="0.35"/>
  <cols>
    <col min="1" max="1" width="2.08984375" customWidth="1"/>
    <col min="8" max="8" width="4.6328125" customWidth="1"/>
    <col min="11" max="11" width="4.6328125" customWidth="1"/>
    <col min="14" max="14" width="2.54296875" customWidth="1"/>
    <col min="15" max="15" width="29.7265625" customWidth="1"/>
  </cols>
  <sheetData>
    <row r="2" spans="2:15" x14ac:dyDescent="0.35">
      <c r="B2" s="1">
        <v>1.7568518285615402</v>
      </c>
      <c r="C2" s="2">
        <v>2.669374900326599</v>
      </c>
      <c r="D2" s="2">
        <v>2.2648609578910159</v>
      </c>
      <c r="E2" s="2">
        <v>1.7212972729222724</v>
      </c>
      <c r="F2" s="2">
        <v>2.5512754008034939</v>
      </c>
      <c r="G2" s="3">
        <v>1.7446674966390501</v>
      </c>
      <c r="I2" t="s">
        <v>0</v>
      </c>
      <c r="J2" s="10">
        <f>AVERAGE(B2:G11)</f>
        <v>2.1609013176621499</v>
      </c>
      <c r="L2" t="s">
        <v>6</v>
      </c>
      <c r="M2" s="10">
        <v>1.3425041780685347</v>
      </c>
    </row>
    <row r="3" spans="2:15" x14ac:dyDescent="0.35">
      <c r="B3" s="4">
        <v>1.8998094266132839</v>
      </c>
      <c r="C3" s="5">
        <v>2.0116692498924351</v>
      </c>
      <c r="D3" s="5">
        <v>1.9969503472530543</v>
      </c>
      <c r="E3" s="5">
        <v>1.7974476414506908</v>
      </c>
      <c r="F3" s="5">
        <v>1.8586700686767179</v>
      </c>
      <c r="G3" s="6">
        <v>1.7846868969999314</v>
      </c>
      <c r="I3" t="s">
        <v>1</v>
      </c>
      <c r="J3" s="11">
        <f>_xlfn.VAR.S(B2:G11)</f>
        <v>0.23965467056214654</v>
      </c>
      <c r="L3" t="s">
        <v>7</v>
      </c>
      <c r="M3" s="11">
        <v>1.8357769995669122</v>
      </c>
    </row>
    <row r="4" spans="2:15" x14ac:dyDescent="0.35">
      <c r="B4" s="4">
        <v>1.6965464792804781</v>
      </c>
      <c r="C4" s="5">
        <v>2.4597518190204313</v>
      </c>
      <c r="D4" s="5">
        <v>2.3324588314747809</v>
      </c>
      <c r="E4" s="5">
        <v>2.2878207535151103</v>
      </c>
      <c r="F4" s="5">
        <v>3.7905724162112726</v>
      </c>
      <c r="G4" s="6">
        <v>2.7816576045050545</v>
      </c>
      <c r="I4" t="s">
        <v>2</v>
      </c>
      <c r="J4" s="11">
        <f>SKEW(B2:G11)</f>
        <v>0.65322064210433506</v>
      </c>
      <c r="L4" t="s">
        <v>8</v>
      </c>
      <c r="M4" s="11">
        <v>4.2797774468384375</v>
      </c>
    </row>
    <row r="5" spans="2:15" x14ac:dyDescent="0.35">
      <c r="B5" s="4">
        <v>1.9330350691014773</v>
      </c>
      <c r="C5" s="5">
        <v>1.3566806838636352</v>
      </c>
      <c r="D5" s="5">
        <v>1.8613389538032523</v>
      </c>
      <c r="E5" s="5">
        <v>1.9228241872239253</v>
      </c>
      <c r="F5" s="5">
        <v>2.3893579341019171</v>
      </c>
      <c r="G5" s="6">
        <v>1.5632069739860159</v>
      </c>
      <c r="I5" t="s">
        <v>3</v>
      </c>
      <c r="J5" s="11">
        <f>MEDIAN(B2:G11)</f>
        <v>2.063964808075518</v>
      </c>
      <c r="L5" s="13" t="s">
        <v>9</v>
      </c>
      <c r="M5" s="11">
        <f>4*(M3-M2)/(M4-M2)+1</f>
        <v>1.6717424990626828</v>
      </c>
      <c r="O5" t="e" cm="1">
        <f t="array" aca="1" ref="O5" ca="1">FTEXT(M5)</f>
        <v>#NAME?</v>
      </c>
    </row>
    <row r="6" spans="2:15" x14ac:dyDescent="0.35">
      <c r="B6" s="4">
        <v>1.1347944090441591</v>
      </c>
      <c r="C6" s="5">
        <v>2.2231725408902738</v>
      </c>
      <c r="D6" s="5">
        <v>2.0145815410600472</v>
      </c>
      <c r="E6" s="5">
        <v>2.143703328080921</v>
      </c>
      <c r="F6" s="5">
        <v>2.8033175815291296</v>
      </c>
      <c r="G6" s="6">
        <v>1.8614951160228093</v>
      </c>
      <c r="I6" t="s">
        <v>4</v>
      </c>
      <c r="J6" s="11">
        <f>MIN(B2:G11)</f>
        <v>1.1347944090441591</v>
      </c>
      <c r="L6" s="13" t="s">
        <v>10</v>
      </c>
      <c r="M6" s="12">
        <f>4*(M4-M3)/(M4-M2)+1</f>
        <v>4.3282575009373172</v>
      </c>
      <c r="O6" t="e" cm="1">
        <f t="array" aca="1" ref="O6" ca="1">FTEXT(M6)</f>
        <v>#NAME?</v>
      </c>
    </row>
    <row r="7" spans="2:15" x14ac:dyDescent="0.35">
      <c r="B7" s="4">
        <v>1.9129866788948706</v>
      </c>
      <c r="C7" s="5">
        <v>2.816544357216201</v>
      </c>
      <c r="D7" s="5">
        <v>2.915588005432677</v>
      </c>
      <c r="E7" s="5">
        <v>1.7768236821396042</v>
      </c>
      <c r="F7" s="5">
        <v>2.099735187548879</v>
      </c>
      <c r="G7" s="6">
        <v>2.1708257132088034</v>
      </c>
      <c r="I7" t="s">
        <v>5</v>
      </c>
      <c r="J7" s="12">
        <f>MAX(B2:G11)</f>
        <v>3.7905724162112726</v>
      </c>
      <c r="O7" t="e" cm="1">
        <f t="array" aca="1" ref="O7" ca="1">FTEXT(M7)</f>
        <v>#NAME?</v>
      </c>
    </row>
    <row r="8" spans="2:15" x14ac:dyDescent="0.35">
      <c r="B8" s="4">
        <v>2.2457215872299119</v>
      </c>
      <c r="C8" s="5">
        <v>2.4424873930967799</v>
      </c>
      <c r="D8" s="5">
        <v>3.0724200959686714</v>
      </c>
      <c r="E8" s="5">
        <v>1.8638399493407907</v>
      </c>
      <c r="F8" s="5">
        <v>2.3498053470079361</v>
      </c>
      <c r="G8" s="6">
        <v>2.6025510379339383</v>
      </c>
      <c r="L8" t="s">
        <v>0</v>
      </c>
      <c r="M8" s="10">
        <f>(M2+4*M3+M4)/6</f>
        <v>2.1608982705291035</v>
      </c>
      <c r="O8" t="e" cm="1">
        <f t="array" aca="1" ref="O8" ca="1">FTEXT(M8)</f>
        <v>#NAME?</v>
      </c>
    </row>
    <row r="9" spans="2:15" x14ac:dyDescent="0.35">
      <c r="B9" s="4">
        <v>1.7266506764460146</v>
      </c>
      <c r="C9" s="5">
        <v>2.7332222357466986</v>
      </c>
      <c r="D9" s="5">
        <v>2.2582094641086905</v>
      </c>
      <c r="E9" s="5">
        <v>1.5951406427810322</v>
      </c>
      <c r="F9" s="5">
        <v>2.694452162943243</v>
      </c>
      <c r="G9" s="6">
        <v>1.7751124834329528</v>
      </c>
      <c r="L9" t="s">
        <v>1</v>
      </c>
      <c r="M9" s="11">
        <f>(M4-M2)^2/36</f>
        <v>0.23965484042861748</v>
      </c>
      <c r="O9" t="e" cm="1">
        <f t="array" aca="1" ref="O9" ca="1">FTEXT(M9)</f>
        <v>#NAME?</v>
      </c>
    </row>
    <row r="10" spans="2:15" x14ac:dyDescent="0.35">
      <c r="B10" s="4">
        <v>2.7554159035724637</v>
      </c>
      <c r="C10" s="5">
        <v>2.1772022317511017</v>
      </c>
      <c r="D10" s="5">
        <v>2.000938234078014</v>
      </c>
      <c r="E10" s="5">
        <v>2.8329280980860436</v>
      </c>
      <c r="F10" s="5">
        <v>2.4455942517012321</v>
      </c>
      <c r="G10" s="6">
        <v>1.8944106888808758</v>
      </c>
      <c r="L10" t="s">
        <v>2</v>
      </c>
      <c r="M10" s="12">
        <f>(M6-M5)/4*SQRT(7/(M5*M6))</f>
        <v>0.65322088950039192</v>
      </c>
      <c r="O10" t="e" cm="1">
        <f t="array" aca="1" ref="O10" ca="1">FTEXT(M10)</f>
        <v>#NAME?</v>
      </c>
    </row>
    <row r="11" spans="2:15" x14ac:dyDescent="0.35">
      <c r="B11" s="7">
        <v>1.2632023609431977</v>
      </c>
      <c r="C11" s="8">
        <v>2.0426124697519228</v>
      </c>
      <c r="D11" s="8">
        <v>2.9558600490709304</v>
      </c>
      <c r="E11" s="8">
        <v>1.7486508953502482</v>
      </c>
      <c r="F11" s="8">
        <v>1.7859523189213729</v>
      </c>
      <c r="G11" s="9">
        <v>2.0853171463991131</v>
      </c>
      <c r="O11" t="e" cm="1">
        <f t="array" aca="1" ref="O11" ca="1">FTEXT(M11)</f>
        <v>#NAME?</v>
      </c>
    </row>
    <row r="12" spans="2:15" x14ac:dyDescent="0.35">
      <c r="L12" t="s">
        <v>11</v>
      </c>
      <c r="M12" s="14">
        <f>(M8-J2)^2+(M9-J3)^2+(M10-J4)^2</f>
        <v>9.3750792289386912E-12</v>
      </c>
      <c r="O12" t="e" cm="1">
        <f t="array" aca="1" ref="O12" ca="1">FTEXT(M12)</f>
        <v>#NAME?</v>
      </c>
    </row>
    <row r="13" spans="2:15" x14ac:dyDescent="0.35">
      <c r="O13" t="e" cm="1">
        <f t="array" aca="1" ref="O13" ca="1">FTEXT(M13)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D87A5-0FBC-44FF-9C1A-7C9A478065D4}">
  <sheetPr codeName="Sheet2"/>
  <dimension ref="B2:AA17"/>
  <sheetViews>
    <sheetView workbookViewId="0"/>
  </sheetViews>
  <sheetFormatPr defaultRowHeight="14.5" x14ac:dyDescent="0.35"/>
  <cols>
    <col min="1" max="1" width="2.08984375" customWidth="1"/>
    <col min="8" max="8" width="4.6328125" customWidth="1"/>
    <col min="11" max="11" width="4.6328125" customWidth="1"/>
    <col min="14" max="14" width="2.36328125" customWidth="1"/>
    <col min="15" max="15" width="40.7265625" customWidth="1"/>
    <col min="19" max="19" width="4.6328125" customWidth="1"/>
    <col min="22" max="22" width="4.6328125" customWidth="1"/>
    <col min="25" max="25" width="4.6328125" customWidth="1"/>
  </cols>
  <sheetData>
    <row r="2" spans="2:27" x14ac:dyDescent="0.35">
      <c r="B2" s="1">
        <v>1.7568518285615402</v>
      </c>
      <c r="C2" s="2">
        <v>2.669374900326599</v>
      </c>
      <c r="D2" s="2">
        <v>2.2648609578910159</v>
      </c>
      <c r="E2" s="2">
        <v>1.7212972729222724</v>
      </c>
      <c r="F2" s="2">
        <v>2.5512754008034939</v>
      </c>
      <c r="G2" s="3">
        <v>1.7446674966390501</v>
      </c>
      <c r="I2" t="s">
        <v>0</v>
      </c>
      <c r="J2" s="10">
        <f>AVERAGE(B2:G11)</f>
        <v>2.1609013176621499</v>
      </c>
      <c r="L2" t="s">
        <v>6</v>
      </c>
      <c r="M2" s="10">
        <f>M4-6*SQRT(J3)</f>
        <v>1.3425073172468576</v>
      </c>
      <c r="N2" s="5"/>
      <c r="O2" t="e" cm="1">
        <f t="array" aca="1" ref="O2" ca="1">FTEXT(M2)</f>
        <v>#NAME?</v>
      </c>
      <c r="Q2" t="e" cm="1">
        <f t="array" aca="1" ref="Q2" ca="1">PERT_FITM(B2:G11,TRUE,,,0)</f>
        <v>#NAME?</v>
      </c>
      <c r="R2" s="10"/>
      <c r="T2" t="e" cm="1">
        <f t="array" aca="1" ref="T2" ca="1">PERT_FITM(B2:G11,TRUE,J6,,0)</f>
        <v>#NAME?</v>
      </c>
      <c r="U2" s="10"/>
      <c r="W2" t="e" cm="1">
        <f t="array" aca="1" ref="W2" ca="1">PERT_FITM(B2:G11,TRUE,J6-0.001,,0)</f>
        <v>#NAME?</v>
      </c>
      <c r="X2" s="10"/>
      <c r="Z2" t="e" cm="1">
        <f t="array" aca="1" ref="Z2" ca="1">PERT_FITM(B2:G11,TRUE,J6-0.001,4,0)</f>
        <v>#NAME?</v>
      </c>
      <c r="AA2" s="10"/>
    </row>
    <row r="3" spans="2:27" x14ac:dyDescent="0.35">
      <c r="B3" s="4">
        <v>1.8998094266132839</v>
      </c>
      <c r="C3" s="5">
        <v>2.0116692498924351</v>
      </c>
      <c r="D3" s="5">
        <v>1.9969503472530543</v>
      </c>
      <c r="E3" s="5">
        <v>1.7974476414506908</v>
      </c>
      <c r="F3" s="5">
        <v>1.8586700686767179</v>
      </c>
      <c r="G3" s="6">
        <v>1.7846868969999314</v>
      </c>
      <c r="I3" t="s">
        <v>1</v>
      </c>
      <c r="J3" s="11">
        <f>_xlfn.VAR.S(B2:G11)</f>
        <v>0.23965467056214654</v>
      </c>
      <c r="L3" t="s">
        <v>7</v>
      </c>
      <c r="M3" s="11">
        <f>(6*J2-M2-M4)/4</f>
        <v>1.8357802609184299</v>
      </c>
      <c r="N3" s="5"/>
      <c r="O3" t="e" cm="1">
        <f t="array" aca="1" ref="O3" ca="1">FTEXT(M3)</f>
        <v>#NAME?</v>
      </c>
      <c r="R3" s="11"/>
      <c r="U3" s="11"/>
      <c r="X3" s="11"/>
      <c r="AA3" s="11"/>
    </row>
    <row r="4" spans="2:27" x14ac:dyDescent="0.35">
      <c r="B4" s="4">
        <v>1.6965464792804781</v>
      </c>
      <c r="C4" s="5">
        <v>2.4597518190204313</v>
      </c>
      <c r="D4" s="5">
        <v>2.3324588314747809</v>
      </c>
      <c r="E4" s="5">
        <v>2.2878207535151103</v>
      </c>
      <c r="F4" s="5">
        <v>3.7905724162112726</v>
      </c>
      <c r="G4" s="6">
        <v>2.7816576045050545</v>
      </c>
      <c r="I4" t="s">
        <v>2</v>
      </c>
      <c r="J4" s="11">
        <f>SKEW(B2:G11)</f>
        <v>0.65322064210433506</v>
      </c>
      <c r="L4" t="s">
        <v>8</v>
      </c>
      <c r="M4" s="11">
        <f>3*SQRT(J3)+J2+6*J4*SQRT(J3)/SQRT(4*J4^2+7)</f>
        <v>4.2797795450523219</v>
      </c>
      <c r="N4" s="5"/>
      <c r="O4" t="e" cm="1">
        <f t="array" aca="1" ref="O4" ca="1">FTEXT(M4)</f>
        <v>#NAME?</v>
      </c>
      <c r="R4" s="11"/>
      <c r="U4" s="11"/>
      <c r="X4" s="11"/>
      <c r="AA4" s="11"/>
    </row>
    <row r="5" spans="2:27" x14ac:dyDescent="0.35">
      <c r="B5" s="4">
        <v>1.9330350691014773</v>
      </c>
      <c r="C5" s="5">
        <v>1.3566806838636352</v>
      </c>
      <c r="D5" s="5">
        <v>1.8613389538032523</v>
      </c>
      <c r="E5" s="5">
        <v>1.9228241872239253</v>
      </c>
      <c r="F5" s="5">
        <v>2.3893579341019171</v>
      </c>
      <c r="G5" s="6">
        <v>1.5632069739860159</v>
      </c>
      <c r="I5" t="s">
        <v>3</v>
      </c>
      <c r="J5" s="11">
        <f>MEDIAN(B2:G11)</f>
        <v>2.063964808075518</v>
      </c>
      <c r="L5" s="13" t="s">
        <v>9</v>
      </c>
      <c r="M5" s="11">
        <f>4*(M3-M2)/(M4-M2)+1</f>
        <v>1.6717429035035181</v>
      </c>
      <c r="N5" s="5"/>
      <c r="O5" t="e" cm="1">
        <f t="array" aca="1" ref="O5" ca="1">FTEXT(M5)</f>
        <v>#NAME?</v>
      </c>
      <c r="R5" s="11"/>
      <c r="U5" s="11"/>
      <c r="X5" s="11"/>
      <c r="AA5" s="11"/>
    </row>
    <row r="6" spans="2:27" x14ac:dyDescent="0.35">
      <c r="B6" s="4">
        <v>1.1347944090441591</v>
      </c>
      <c r="C6" s="5">
        <v>2.2231725408902738</v>
      </c>
      <c r="D6" s="5">
        <v>2.0145815410600472</v>
      </c>
      <c r="E6" s="5">
        <v>2.143703328080921</v>
      </c>
      <c r="F6" s="5">
        <v>2.8033175815291296</v>
      </c>
      <c r="G6" s="6">
        <v>1.8614951160228093</v>
      </c>
      <c r="I6" t="s">
        <v>4</v>
      </c>
      <c r="J6" s="11">
        <f>MIN(B2:G11)</f>
        <v>1.1347944090441591</v>
      </c>
      <c r="L6" s="13" t="s">
        <v>10</v>
      </c>
      <c r="M6" s="12">
        <f>4*(M4-M3)/(M4-M2)+1</f>
        <v>4.3282570964964826</v>
      </c>
      <c r="N6" s="5"/>
      <c r="O6" t="e" cm="1">
        <f t="array" aca="1" ref="O6" ca="1">FTEXT(M6)</f>
        <v>#NAME?</v>
      </c>
      <c r="R6" s="11"/>
      <c r="U6" s="11"/>
      <c r="X6" s="11"/>
      <c r="AA6" s="11"/>
    </row>
    <row r="7" spans="2:27" x14ac:dyDescent="0.35">
      <c r="B7" s="4">
        <v>1.9129866788948706</v>
      </c>
      <c r="C7" s="5">
        <v>2.816544357216201</v>
      </c>
      <c r="D7" s="5">
        <v>2.915588005432677</v>
      </c>
      <c r="E7" s="5">
        <v>1.7768236821396042</v>
      </c>
      <c r="F7" s="5">
        <v>2.099735187548879</v>
      </c>
      <c r="G7" s="6">
        <v>2.1708257132088034</v>
      </c>
      <c r="I7" t="s">
        <v>5</v>
      </c>
      <c r="J7" s="12">
        <f>MAX(B2:G11)</f>
        <v>3.7905724162112726</v>
      </c>
      <c r="R7" s="11"/>
      <c r="U7" s="11"/>
      <c r="X7" s="11"/>
      <c r="AA7" s="11"/>
    </row>
    <row r="8" spans="2:27" x14ac:dyDescent="0.35">
      <c r="B8" s="4">
        <v>2.2457215872299119</v>
      </c>
      <c r="C8" s="5">
        <v>2.4424873930967799</v>
      </c>
      <c r="D8" s="5">
        <v>3.0724200959686714</v>
      </c>
      <c r="E8" s="5">
        <v>1.8638399493407907</v>
      </c>
      <c r="F8" s="5">
        <v>2.3498053470079361</v>
      </c>
      <c r="G8" s="6">
        <v>2.6025510379339383</v>
      </c>
      <c r="L8" t="s">
        <v>0</v>
      </c>
      <c r="M8" s="10">
        <f>(M2+4*M3+M4)/6</f>
        <v>2.1609013176621499</v>
      </c>
      <c r="N8" s="5"/>
      <c r="O8" t="e" cm="1">
        <f t="array" aca="1" ref="O8" ca="1">FTEXT(M8)</f>
        <v>#NAME?</v>
      </c>
      <c r="R8" s="11"/>
      <c r="U8" s="11"/>
      <c r="X8" s="11"/>
      <c r="AA8" s="11"/>
    </row>
    <row r="9" spans="2:27" x14ac:dyDescent="0.35">
      <c r="B9" s="4">
        <v>1.7266506764460146</v>
      </c>
      <c r="C9" s="5">
        <v>2.7332222357466986</v>
      </c>
      <c r="D9" s="5">
        <v>2.2582094641086905</v>
      </c>
      <c r="E9" s="5">
        <v>1.5951406427810322</v>
      </c>
      <c r="F9" s="5">
        <v>2.694452162943243</v>
      </c>
      <c r="G9" s="6">
        <v>1.7751124834329528</v>
      </c>
      <c r="L9" t="s">
        <v>1</v>
      </c>
      <c r="M9" s="11">
        <f>(M4-M2)^2/36</f>
        <v>0.23965467056214657</v>
      </c>
      <c r="N9" s="5"/>
      <c r="O9" t="e" cm="1">
        <f t="array" aca="1" ref="O9" ca="1">FTEXT(M9)</f>
        <v>#NAME?</v>
      </c>
      <c r="R9" s="11"/>
      <c r="U9" s="11"/>
      <c r="X9" s="11"/>
      <c r="AA9" s="11"/>
    </row>
    <row r="10" spans="2:27" x14ac:dyDescent="0.35">
      <c r="B10" s="4">
        <v>2.7554159035724637</v>
      </c>
      <c r="C10" s="5">
        <v>2.1772022317511017</v>
      </c>
      <c r="D10" s="5">
        <v>2.000938234078014</v>
      </c>
      <c r="E10" s="5">
        <v>2.8329280980860436</v>
      </c>
      <c r="F10" s="5">
        <v>2.4455942517012321</v>
      </c>
      <c r="G10" s="6">
        <v>1.8944106888808758</v>
      </c>
      <c r="L10" t="s">
        <v>2</v>
      </c>
      <c r="M10" s="12">
        <f>(M6-M5)/4*SQRT(7/(M5*M6))</f>
        <v>0.65322064210433484</v>
      </c>
      <c r="N10" s="5"/>
      <c r="O10" t="e" cm="1">
        <f t="array" aca="1" ref="O10" ca="1">FTEXT(M10)</f>
        <v>#NAME?</v>
      </c>
      <c r="R10" s="11"/>
      <c r="U10" s="11"/>
      <c r="X10" s="11"/>
      <c r="AA10" s="11"/>
    </row>
    <row r="11" spans="2:27" x14ac:dyDescent="0.35">
      <c r="B11" s="7">
        <v>1.2632023609431977</v>
      </c>
      <c r="C11" s="8">
        <v>2.0426124697519228</v>
      </c>
      <c r="D11" s="8">
        <v>2.9558600490709304</v>
      </c>
      <c r="E11" s="8">
        <v>1.7486508953502482</v>
      </c>
      <c r="F11" s="8">
        <v>1.7859523189213729</v>
      </c>
      <c r="G11" s="9">
        <v>2.0853171463991131</v>
      </c>
      <c r="R11" s="11"/>
      <c r="U11" s="11"/>
      <c r="X11" s="11"/>
      <c r="AA11" s="11"/>
    </row>
    <row r="12" spans="2:27" x14ac:dyDescent="0.35">
      <c r="L12" t="s">
        <v>11</v>
      </c>
      <c r="M12" s="14">
        <f>(M8-J2)^2+(M9-J3)^2+(J4-M10)^2</f>
        <v>5.0074178554068132E-32</v>
      </c>
      <c r="N12" s="5"/>
      <c r="O12" t="e" cm="1">
        <f t="array" aca="1" ref="O12" ca="1">FTEXT(M12)</f>
        <v>#NAME?</v>
      </c>
      <c r="R12" s="12"/>
      <c r="U12" s="12"/>
      <c r="X12" s="12"/>
      <c r="AA12" s="12"/>
    </row>
    <row r="14" spans="2:27" x14ac:dyDescent="0.35">
      <c r="L14" t="s">
        <v>12</v>
      </c>
      <c r="M14" s="14" t="e" cm="1">
        <f t="array" aca="1" ref="M14" ca="1">PERT_MLE(B2:G11,M2,M3,M4)</f>
        <v>#NAME?</v>
      </c>
      <c r="O14" t="e" cm="1">
        <f t="array" aca="1" ref="O14" ca="1">FTEXT(M14)</f>
        <v>#NAME?</v>
      </c>
      <c r="Q14" t="e" cm="1">
        <f t="array" aca="1" ref="Q14" ca="1">FTEXT(Q2)</f>
        <v>#NAME?</v>
      </c>
    </row>
    <row r="15" spans="2:27" x14ac:dyDescent="0.35">
      <c r="Q15" t="e" cm="1">
        <f t="array" aca="1" ref="Q15" ca="1">FTEXT(T2)</f>
        <v>#NAME?</v>
      </c>
    </row>
    <row r="16" spans="2:27" x14ac:dyDescent="0.35">
      <c r="Q16" t="e" cm="1">
        <f t="array" aca="1" ref="Q16" ca="1">FTEXT(W2)</f>
        <v>#NAME?</v>
      </c>
    </row>
    <row r="17" spans="17:17" x14ac:dyDescent="0.35">
      <c r="Q17" t="e" cm="1">
        <f t="array" aca="1" ref="Q17" ca="1">FTEXT(Z2)</f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2CAD-EF3A-42BF-8F92-F9C8B942EAD9}">
  <sheetPr codeName="Sheet6"/>
  <dimension ref="B2:O29"/>
  <sheetViews>
    <sheetView topLeftCell="H1" workbookViewId="0">
      <selection activeCell="W20" sqref="W20"/>
    </sheetView>
  </sheetViews>
  <sheetFormatPr defaultRowHeight="14.5" x14ac:dyDescent="0.35"/>
  <cols>
    <col min="1" max="1" width="2.08984375" customWidth="1"/>
    <col min="8" max="8" width="2.81640625" customWidth="1"/>
    <col min="11" max="11" width="4.6328125" customWidth="1"/>
    <col min="14" max="14" width="2.54296875" customWidth="1"/>
    <col min="15" max="15" width="29.7265625" customWidth="1"/>
  </cols>
  <sheetData>
    <row r="2" spans="2:15" x14ac:dyDescent="0.35">
      <c r="B2" s="1">
        <v>1.7568518285615402</v>
      </c>
      <c r="C2" s="2">
        <v>2.669374900326599</v>
      </c>
      <c r="D2" s="2">
        <v>2.2648609578910159</v>
      </c>
      <c r="E2" s="2">
        <v>1.7212972729222724</v>
      </c>
      <c r="F2" s="2">
        <v>2.5512754008034939</v>
      </c>
      <c r="G2" s="3">
        <v>1.7446674966390501</v>
      </c>
      <c r="I2" t="s">
        <v>0</v>
      </c>
      <c r="J2" s="10">
        <f>AVERAGE(B2:G11)</f>
        <v>2.1609013176621499</v>
      </c>
      <c r="L2" t="s">
        <v>6</v>
      </c>
      <c r="M2" s="10">
        <v>1</v>
      </c>
    </row>
    <row r="3" spans="2:15" x14ac:dyDescent="0.35">
      <c r="B3" s="4">
        <v>1.8998094266132839</v>
      </c>
      <c r="C3" s="5">
        <v>2.0116692498924351</v>
      </c>
      <c r="D3" s="5">
        <v>1.9969503472530543</v>
      </c>
      <c r="E3" s="5">
        <v>1.7974476414506908</v>
      </c>
      <c r="F3" s="5">
        <v>1.8586700686767179</v>
      </c>
      <c r="G3" s="6">
        <v>1.7846868969999314</v>
      </c>
      <c r="I3" t="s">
        <v>1</v>
      </c>
      <c r="J3" s="11">
        <f>_xlfn.VAR.S(B2:G11)</f>
        <v>0.23965467056214654</v>
      </c>
      <c r="L3" t="s">
        <v>7</v>
      </c>
      <c r="M3" s="11">
        <v>2</v>
      </c>
    </row>
    <row r="4" spans="2:15" x14ac:dyDescent="0.35">
      <c r="B4" s="4">
        <v>1.6965464792804781</v>
      </c>
      <c r="C4" s="5">
        <v>2.4597518190204313</v>
      </c>
      <c r="D4" s="5">
        <v>2.3324588314747809</v>
      </c>
      <c r="E4" s="5">
        <v>2.2878207535151103</v>
      </c>
      <c r="F4" s="5">
        <v>3.7905724162112726</v>
      </c>
      <c r="G4" s="6">
        <v>2.7816576045050545</v>
      </c>
      <c r="I4" t="s">
        <v>2</v>
      </c>
      <c r="J4" s="11">
        <f>SKEW(B2:G11)</f>
        <v>0.65322064210433506</v>
      </c>
      <c r="L4" t="s">
        <v>8</v>
      </c>
      <c r="M4" s="11">
        <v>4</v>
      </c>
    </row>
    <row r="5" spans="2:15" x14ac:dyDescent="0.35">
      <c r="B5" s="4">
        <v>1.9330350691014773</v>
      </c>
      <c r="C5" s="5">
        <v>1.3566806838636352</v>
      </c>
      <c r="D5" s="5">
        <v>1.8613389538032523</v>
      </c>
      <c r="E5" s="5">
        <v>1.9228241872239253</v>
      </c>
      <c r="F5" s="5">
        <v>2.3893579341019171</v>
      </c>
      <c r="G5" s="6">
        <v>1.5632069739860159</v>
      </c>
      <c r="I5" t="s">
        <v>3</v>
      </c>
      <c r="J5" s="11">
        <f>MEDIAN(B2:G11)</f>
        <v>2.063964808075518</v>
      </c>
      <c r="L5" s="13" t="s">
        <v>9</v>
      </c>
      <c r="M5" s="11">
        <f>4*(M3-M2)/(M4-M2)+1</f>
        <v>2.333333333333333</v>
      </c>
      <c r="O5" t="e" cm="1">
        <f t="array" aca="1" ref="O5" ca="1">FTEXT(M5)</f>
        <v>#NAME?</v>
      </c>
    </row>
    <row r="6" spans="2:15" x14ac:dyDescent="0.35">
      <c r="B6" s="4">
        <v>1.1347944090441591</v>
      </c>
      <c r="C6" s="5">
        <v>2.2231725408902738</v>
      </c>
      <c r="D6" s="5">
        <v>2.0145815410600472</v>
      </c>
      <c r="E6" s="5">
        <v>2.143703328080921</v>
      </c>
      <c r="F6" s="5">
        <v>2.8033175815291296</v>
      </c>
      <c r="G6" s="6">
        <v>1.8614951160228093</v>
      </c>
      <c r="I6" t="s">
        <v>4</v>
      </c>
      <c r="J6" s="11">
        <f>MIN(B2:G11)</f>
        <v>1.1347944090441591</v>
      </c>
      <c r="L6" s="13" t="s">
        <v>10</v>
      </c>
      <c r="M6" s="12">
        <f>4*(M4-M3)/(M4-M2)+1</f>
        <v>3.6666666666666665</v>
      </c>
      <c r="O6" t="e" cm="1">
        <f t="array" aca="1" ref="O6" ca="1">FTEXT(M6)</f>
        <v>#NAME?</v>
      </c>
    </row>
    <row r="7" spans="2:15" x14ac:dyDescent="0.35">
      <c r="B7" s="4">
        <v>1.9129866788948706</v>
      </c>
      <c r="C7" s="5">
        <v>2.816544357216201</v>
      </c>
      <c r="D7" s="5">
        <v>2.915588005432677</v>
      </c>
      <c r="E7" s="5">
        <v>1.7768236821396042</v>
      </c>
      <c r="F7" s="5">
        <v>2.099735187548879</v>
      </c>
      <c r="G7" s="6">
        <v>2.1708257132088034</v>
      </c>
      <c r="I7" t="s">
        <v>5</v>
      </c>
      <c r="J7" s="12">
        <f>MAX(B2:G11)</f>
        <v>3.7905724162112726</v>
      </c>
      <c r="O7" t="e" cm="1">
        <f t="array" aca="1" ref="O7" ca="1">FTEXT(M7)</f>
        <v>#NAME?</v>
      </c>
    </row>
    <row r="8" spans="2:15" x14ac:dyDescent="0.35">
      <c r="B8" s="4">
        <v>2.2457215872299119</v>
      </c>
      <c r="C8" s="5">
        <v>2.4424873930967799</v>
      </c>
      <c r="D8" s="5">
        <v>3.0724200959686714</v>
      </c>
      <c r="E8" s="5">
        <v>1.8638399493407907</v>
      </c>
      <c r="F8" s="5">
        <v>2.3498053470079361</v>
      </c>
      <c r="G8" s="6">
        <v>2.6025510379339383</v>
      </c>
      <c r="L8" t="s">
        <v>0</v>
      </c>
      <c r="M8" s="10">
        <f>(M2+4*M3+M4)/6</f>
        <v>2.1666666666666665</v>
      </c>
      <c r="O8" t="e" cm="1">
        <f t="array" aca="1" ref="O8" ca="1">FTEXT(M8)</f>
        <v>#NAME?</v>
      </c>
    </row>
    <row r="9" spans="2:15" x14ac:dyDescent="0.35">
      <c r="B9" s="4">
        <v>1.7266506764460146</v>
      </c>
      <c r="C9" s="5">
        <v>2.7332222357466986</v>
      </c>
      <c r="D9" s="5">
        <v>2.2582094641086905</v>
      </c>
      <c r="E9" s="5">
        <v>1.5951406427810322</v>
      </c>
      <c r="F9" s="5">
        <v>2.694452162943243</v>
      </c>
      <c r="G9" s="6">
        <v>1.7751124834329528</v>
      </c>
      <c r="L9" t="s">
        <v>1</v>
      </c>
      <c r="M9" s="11">
        <f>(M4-M2)^2/36</f>
        <v>0.25</v>
      </c>
      <c r="O9" t="e" cm="1">
        <f t="array" aca="1" ref="O9" ca="1">FTEXT(M9)</f>
        <v>#NAME?</v>
      </c>
    </row>
    <row r="10" spans="2:15" x14ac:dyDescent="0.35">
      <c r="B10" s="4">
        <v>2.7554159035724637</v>
      </c>
      <c r="C10" s="5">
        <v>2.1772022317511017</v>
      </c>
      <c r="D10" s="5">
        <v>2.000938234078014</v>
      </c>
      <c r="E10" s="5">
        <v>2.8329280980860436</v>
      </c>
      <c r="F10" s="5">
        <v>2.4455942517012321</v>
      </c>
      <c r="G10" s="6">
        <v>1.8944106888808758</v>
      </c>
      <c r="L10" t="s">
        <v>2</v>
      </c>
      <c r="M10" s="12">
        <f>(M6-M5)/4*SQRT(7/(M5*M6))</f>
        <v>0.30151134457776368</v>
      </c>
      <c r="O10" t="e" cm="1">
        <f t="array" aca="1" ref="O10" ca="1">FTEXT(M10)</f>
        <v>#NAME?</v>
      </c>
    </row>
    <row r="11" spans="2:15" x14ac:dyDescent="0.35">
      <c r="B11" s="7">
        <v>1.2632023609431977</v>
      </c>
      <c r="C11" s="8">
        <v>2.0426124697519228</v>
      </c>
      <c r="D11" s="8">
        <v>2.9558600490709304</v>
      </c>
      <c r="E11" s="8">
        <v>1.7486508953502482</v>
      </c>
      <c r="F11" s="8">
        <v>1.7859523189213729</v>
      </c>
      <c r="G11" s="9">
        <v>2.0853171463991131</v>
      </c>
      <c r="O11" t="e" cm="1">
        <f t="array" aca="1" ref="O11" ca="1">FTEXT(M11)</f>
        <v>#NAME?</v>
      </c>
    </row>
    <row r="12" spans="2:15" x14ac:dyDescent="0.35">
      <c r="L12" t="s">
        <v>11</v>
      </c>
      <c r="M12" s="14">
        <f>(M8-J2)^2+(M9-J3)^2+(M10-J4)^2</f>
        <v>0.1238396950569559</v>
      </c>
      <c r="O12" t="e" cm="1">
        <f t="array" aca="1" ref="O12" ca="1">FTEXT(M12)</f>
        <v>#NAME?</v>
      </c>
    </row>
    <row r="13" spans="2:15" x14ac:dyDescent="0.35">
      <c r="O13" t="e" cm="1">
        <f t="array" aca="1" ref="O13" ca="1">FTEXT(M13)</f>
        <v>#NAME?</v>
      </c>
    </row>
    <row r="24" spans="13:13" x14ac:dyDescent="0.35">
      <c r="M24">
        <f>3*R13+M8</f>
        <v>2.1666666666666665</v>
      </c>
    </row>
    <row r="25" spans="13:13" x14ac:dyDescent="0.35">
      <c r="M25">
        <f>6*M10*R13</f>
        <v>0</v>
      </c>
    </row>
    <row r="26" spans="13:13" x14ac:dyDescent="0.35">
      <c r="M26">
        <f>SQRT(4*M10^2+7)</f>
        <v>2.7136021011998728</v>
      </c>
    </row>
    <row r="27" spans="13:13" x14ac:dyDescent="0.35">
      <c r="M27">
        <f>M25/M26</f>
        <v>0</v>
      </c>
    </row>
    <row r="28" spans="13:13" x14ac:dyDescent="0.35">
      <c r="M28">
        <f>M24+M27</f>
        <v>2.1666666666666665</v>
      </c>
    </row>
    <row r="29" spans="13:13" x14ac:dyDescent="0.35">
      <c r="M29">
        <f>M24-M27</f>
        <v>2.1666666666666665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3B69E-EA77-4A03-B0E4-0FA9B4B20145}">
  <sheetPr codeName="Sheet3"/>
  <dimension ref="B2:AA29"/>
  <sheetViews>
    <sheetView workbookViewId="0">
      <selection sqref="A1:A1048576"/>
    </sheetView>
  </sheetViews>
  <sheetFormatPr defaultRowHeight="14.5" x14ac:dyDescent="0.35"/>
  <cols>
    <col min="1" max="1" width="2.08984375" customWidth="1"/>
    <col min="8" max="8" width="4.6328125" customWidth="1"/>
    <col min="11" max="11" width="4.6328125" customWidth="1"/>
    <col min="14" max="14" width="2.54296875" customWidth="1"/>
    <col min="15" max="15" width="29.7265625" customWidth="1"/>
    <col min="18" max="18" width="8.7265625" customWidth="1"/>
    <col min="19" max="19" width="4.6328125" customWidth="1"/>
    <col min="21" max="21" width="8.7265625" customWidth="1"/>
    <col min="22" max="22" width="4.6328125" customWidth="1"/>
    <col min="25" max="25" width="4.6328125" customWidth="1"/>
  </cols>
  <sheetData>
    <row r="2" spans="2:27" x14ac:dyDescent="0.35">
      <c r="B2" s="1">
        <v>1.7568518285615402</v>
      </c>
      <c r="C2" s="2">
        <v>2.669374900326599</v>
      </c>
      <c r="D2" s="2">
        <v>2.2648609578910159</v>
      </c>
      <c r="E2" s="2">
        <v>1.7212972729222724</v>
      </c>
      <c r="F2" s="2">
        <v>2.5512754008034939</v>
      </c>
      <c r="G2" s="3">
        <v>1.7446674966390501</v>
      </c>
      <c r="I2" t="s">
        <v>0</v>
      </c>
      <c r="J2" s="10">
        <f>AVERAGE(B2:G11)</f>
        <v>2.1609013176621499</v>
      </c>
      <c r="L2" t="s">
        <v>6</v>
      </c>
      <c r="M2" s="10">
        <v>1.1347944090441591</v>
      </c>
      <c r="Q2" t="e" cm="1">
        <f t="array" aca="1" ref="Q2" ca="1">PERT_FITM(B2:G11,TRUE)</f>
        <v>#NAME?</v>
      </c>
      <c r="R2" s="10"/>
      <c r="T2" t="e" cm="1">
        <f t="array" aca="1" ref="T2" ca="1">PERT_FITM(B2:G11,TRUE,,,200,0.001)</f>
        <v>#NAME?</v>
      </c>
      <c r="U2" s="10"/>
      <c r="W2" t="e" cm="1">
        <f t="array" aca="1" ref="W2" ca="1">PERT_FITM(B2:G11,TRUE,J6,,200)</f>
        <v>#NAME?</v>
      </c>
      <c r="X2" s="10"/>
      <c r="Z2" t="e" cm="1">
        <f t="array" aca="1" ref="Z2" ca="1">PERT_FITM(B2:G11,TRUE,U2,U4,1000)</f>
        <v>#NAME?</v>
      </c>
      <c r="AA2" s="10"/>
    </row>
    <row r="3" spans="2:27" x14ac:dyDescent="0.35">
      <c r="B3" s="4">
        <v>1.8998094266132839</v>
      </c>
      <c r="C3" s="5">
        <v>2.0116692498924351</v>
      </c>
      <c r="D3" s="5">
        <v>1.9969503472530543</v>
      </c>
      <c r="E3" s="5">
        <v>1.7974476414506908</v>
      </c>
      <c r="F3" s="5">
        <v>1.8586700686767179</v>
      </c>
      <c r="G3" s="6">
        <v>1.7846868969999314</v>
      </c>
      <c r="I3" t="s">
        <v>1</v>
      </c>
      <c r="J3" s="11">
        <f>_xlfn.VAR.S(B2:G11)</f>
        <v>0.23965467056214654</v>
      </c>
      <c r="L3" t="s">
        <v>7</v>
      </c>
      <c r="M3" s="11">
        <v>1.762574009140883</v>
      </c>
      <c r="R3" s="11"/>
      <c r="U3" s="11"/>
      <c r="X3" s="11"/>
      <c r="AA3" s="11"/>
    </row>
    <row r="4" spans="2:27" x14ac:dyDescent="0.35">
      <c r="B4" s="4">
        <v>1.6965464792804781</v>
      </c>
      <c r="C4" s="5">
        <v>2.4597518190204313</v>
      </c>
      <c r="D4" s="5">
        <v>2.3324588314747809</v>
      </c>
      <c r="E4" s="5">
        <v>2.2878207535151103</v>
      </c>
      <c r="F4" s="5">
        <v>3.7905724162112726</v>
      </c>
      <c r="G4" s="6">
        <v>2.7816576045050545</v>
      </c>
      <c r="I4" t="s">
        <v>2</v>
      </c>
      <c r="J4" s="11">
        <f>SKEW(B2:G11)</f>
        <v>0.65322064210433506</v>
      </c>
      <c r="L4" t="s">
        <v>8</v>
      </c>
      <c r="M4" s="11">
        <v>4.4954267486864907</v>
      </c>
      <c r="R4" s="11"/>
      <c r="U4" s="11"/>
      <c r="X4" s="11"/>
      <c r="AA4" s="11"/>
    </row>
    <row r="5" spans="2:27" x14ac:dyDescent="0.35">
      <c r="B5" s="4">
        <v>1.9330350691014773</v>
      </c>
      <c r="C5" s="5">
        <v>1.3566806838636352</v>
      </c>
      <c r="D5" s="5">
        <v>1.8613389538032523</v>
      </c>
      <c r="E5" s="5">
        <v>1.9228241872239253</v>
      </c>
      <c r="F5" s="5">
        <v>2.3893579341019171</v>
      </c>
      <c r="G5" s="6">
        <v>1.5632069739860159</v>
      </c>
      <c r="I5" t="s">
        <v>3</v>
      </c>
      <c r="J5" s="11">
        <f>MEDIAN(B2:G11)</f>
        <v>2.063964808075518</v>
      </c>
      <c r="L5" s="13" t="s">
        <v>9</v>
      </c>
      <c r="M5" s="11">
        <f>4*(M3-M2)/(M4-M2)+1</f>
        <v>1.7472160434706021</v>
      </c>
      <c r="O5" t="e" cm="1">
        <f t="array" aca="1" ref="O5" ca="1">FTEXT(M5)</f>
        <v>#NAME?</v>
      </c>
      <c r="R5" s="11"/>
      <c r="U5" s="11"/>
      <c r="X5" s="11"/>
      <c r="AA5" s="11"/>
    </row>
    <row r="6" spans="2:27" x14ac:dyDescent="0.35">
      <c r="B6" s="4">
        <v>1.1347944090441591</v>
      </c>
      <c r="C6" s="5">
        <v>2.2231725408902738</v>
      </c>
      <c r="D6" s="5">
        <v>2.0145815410600472</v>
      </c>
      <c r="E6" s="5">
        <v>2.143703328080921</v>
      </c>
      <c r="F6" s="5">
        <v>2.8033175815291296</v>
      </c>
      <c r="G6" s="6">
        <v>1.8614951160228093</v>
      </c>
      <c r="I6" t="s">
        <v>4</v>
      </c>
      <c r="J6" s="11">
        <f>MIN(B2:G11)</f>
        <v>1.1347944090441591</v>
      </c>
      <c r="L6" s="13" t="s">
        <v>10</v>
      </c>
      <c r="M6" s="12">
        <f>4*(M4-M3)/(M4-M2)+1</f>
        <v>4.252783956529397</v>
      </c>
      <c r="O6" t="e" cm="1">
        <f t="array" aca="1" ref="O6" ca="1">FTEXT(M6)</f>
        <v>#NAME?</v>
      </c>
      <c r="R6" s="11"/>
      <c r="U6" s="11"/>
      <c r="X6" s="11"/>
      <c r="AA6" s="11"/>
    </row>
    <row r="7" spans="2:27" x14ac:dyDescent="0.35">
      <c r="B7" s="4">
        <v>1.9129866788948706</v>
      </c>
      <c r="C7" s="5">
        <v>2.816544357216201</v>
      </c>
      <c r="D7" s="5">
        <v>2.915588005432677</v>
      </c>
      <c r="E7" s="5">
        <v>1.7768236821396042</v>
      </c>
      <c r="F7" s="5">
        <v>2.099735187548879</v>
      </c>
      <c r="G7" s="6">
        <v>2.1708257132088034</v>
      </c>
      <c r="I7" t="s">
        <v>5</v>
      </c>
      <c r="J7" s="12">
        <f>MAX(B2:G11)</f>
        <v>3.7905724162112726</v>
      </c>
      <c r="O7" t="e" cm="1">
        <f t="array" aca="1" ref="O7" ca="1">FTEXT(M7)</f>
        <v>#NAME?</v>
      </c>
      <c r="R7" s="11"/>
      <c r="U7" s="11"/>
      <c r="X7" s="11"/>
      <c r="AA7" s="11"/>
    </row>
    <row r="8" spans="2:27" x14ac:dyDescent="0.35">
      <c r="B8" s="4">
        <v>2.2457215872299119</v>
      </c>
      <c r="C8" s="5">
        <v>2.4424873930967799</v>
      </c>
      <c r="D8" s="5">
        <v>3.0724200959686714</v>
      </c>
      <c r="E8" s="5">
        <v>1.8638399493407907</v>
      </c>
      <c r="F8" s="5">
        <v>2.3498053470079361</v>
      </c>
      <c r="G8" s="6">
        <v>2.6025510379339383</v>
      </c>
      <c r="L8" t="s">
        <v>0</v>
      </c>
      <c r="M8" s="10">
        <f>(M2+4*M3+M4)/6</f>
        <v>2.1134195323823639</v>
      </c>
      <c r="O8" t="e" cm="1">
        <f t="array" aca="1" ref="O8" ca="1">FTEXT(M8)</f>
        <v>#NAME?</v>
      </c>
      <c r="R8" s="11"/>
      <c r="U8" s="11"/>
      <c r="X8" s="11"/>
      <c r="AA8" s="11"/>
    </row>
    <row r="9" spans="2:27" x14ac:dyDescent="0.35">
      <c r="B9" s="4">
        <v>1.7266506764460146</v>
      </c>
      <c r="C9" s="5">
        <v>2.7332222357466986</v>
      </c>
      <c r="D9" s="5">
        <v>2.2582094641086905</v>
      </c>
      <c r="E9" s="5">
        <v>1.5951406427810322</v>
      </c>
      <c r="F9" s="5">
        <v>2.694452162943243</v>
      </c>
      <c r="G9" s="6">
        <v>1.7751124834329528</v>
      </c>
      <c r="L9" t="s">
        <v>1</v>
      </c>
      <c r="M9" s="11">
        <f>(M4-M2)^2/36</f>
        <v>0.31371804784027479</v>
      </c>
      <c r="O9" t="e" cm="1">
        <f t="array" aca="1" ref="O9" ca="1">FTEXT(M9)</f>
        <v>#NAME?</v>
      </c>
      <c r="R9" s="11"/>
      <c r="U9" s="11"/>
      <c r="X9" s="11"/>
      <c r="AA9" s="11"/>
    </row>
    <row r="10" spans="2:27" x14ac:dyDescent="0.35">
      <c r="B10" s="4">
        <v>2.7554159035724637</v>
      </c>
      <c r="C10" s="5">
        <v>2.1772022317511017</v>
      </c>
      <c r="D10" s="5">
        <v>2.000938234078014</v>
      </c>
      <c r="E10" s="5">
        <v>2.8329280980860436</v>
      </c>
      <c r="F10" s="5">
        <v>2.4455942517012321</v>
      </c>
      <c r="G10" s="6">
        <v>1.8944106888808758</v>
      </c>
      <c r="L10" t="s">
        <v>2</v>
      </c>
      <c r="M10" s="12">
        <f>(M6-M5)/4*SQRT(7/(M5*M6))</f>
        <v>0.60797432960669662</v>
      </c>
      <c r="O10" t="e" cm="1">
        <f t="array" aca="1" ref="O10" ca="1">FTEXT(M10)</f>
        <v>#NAME?</v>
      </c>
      <c r="R10" s="11"/>
      <c r="U10" s="11"/>
      <c r="X10" s="11"/>
      <c r="AA10" s="11"/>
    </row>
    <row r="11" spans="2:27" x14ac:dyDescent="0.35">
      <c r="B11" s="7">
        <v>1.2632023609431977</v>
      </c>
      <c r="C11" s="8">
        <v>2.0426124697519228</v>
      </c>
      <c r="D11" s="8">
        <v>2.9558600490709304</v>
      </c>
      <c r="E11" s="8">
        <v>1.7486508953502482</v>
      </c>
      <c r="F11" s="8">
        <v>1.7859523189213729</v>
      </c>
      <c r="G11" s="9">
        <v>2.0853171463991131</v>
      </c>
      <c r="O11" t="e" cm="1">
        <f t="array" aca="1" ref="O11" ca="1">FTEXT(M11)</f>
        <v>#NAME?</v>
      </c>
      <c r="R11" s="11"/>
      <c r="U11" s="11"/>
      <c r="X11" s="11"/>
      <c r="AA11" s="11"/>
    </row>
    <row r="12" spans="2:27" x14ac:dyDescent="0.35">
      <c r="L12" t="s">
        <v>11</v>
      </c>
      <c r="M12" s="14">
        <f>(M8-J2)^2+(M9-J3)^2+(M10-J4)^2</f>
        <v>9.7871325818320171E-3</v>
      </c>
      <c r="O12" t="e" cm="1">
        <f t="array" aca="1" ref="O12" ca="1">FTEXT(M12)</f>
        <v>#NAME?</v>
      </c>
      <c r="R12" s="12"/>
      <c r="U12" s="12"/>
      <c r="X12" s="12"/>
      <c r="AA12" s="12"/>
    </row>
    <row r="13" spans="2:27" x14ac:dyDescent="0.35">
      <c r="O13" t="e" cm="1">
        <f t="array" aca="1" ref="O13" ca="1">FTEXT(M13)</f>
        <v>#NAME?</v>
      </c>
    </row>
    <row r="14" spans="2:27" x14ac:dyDescent="0.35">
      <c r="Q14" t="e" cm="1">
        <f t="array" aca="1" ref="Q14" ca="1">FTEXT(Q2)</f>
        <v>#NAME?</v>
      </c>
    </row>
    <row r="15" spans="2:27" x14ac:dyDescent="0.35">
      <c r="Q15" t="e" cm="1">
        <f t="array" aca="1" ref="Q15" ca="1">FTEXT(T2)</f>
        <v>#NAME?</v>
      </c>
    </row>
    <row r="16" spans="2:27" x14ac:dyDescent="0.35">
      <c r="Q16" t="e" cm="1">
        <f t="array" aca="1" ref="Q16" ca="1">FTEXT(W2)</f>
        <v>#NAME?</v>
      </c>
    </row>
    <row r="17" spans="13:18" x14ac:dyDescent="0.35">
      <c r="Q17" t="e" cm="1">
        <f t="array" aca="1" ref="Q17" ca="1">FTEXT(Z2)</f>
        <v>#NAME?</v>
      </c>
    </row>
    <row r="23" spans="13:18" x14ac:dyDescent="0.35">
      <c r="R23">
        <f>SQRT(R22)</f>
        <v>0</v>
      </c>
    </row>
    <row r="24" spans="13:18" x14ac:dyDescent="0.35">
      <c r="M24">
        <f>3*R13+M8</f>
        <v>2.1134195323823639</v>
      </c>
      <c r="R24" t="e">
        <f>R23*R13*3/R14</f>
        <v>#DIV/0!</v>
      </c>
    </row>
    <row r="25" spans="13:18" x14ac:dyDescent="0.35">
      <c r="M25">
        <f>6*M10*R13</f>
        <v>0</v>
      </c>
      <c r="R25">
        <f>3*R13+M8</f>
        <v>2.1134195323823639</v>
      </c>
    </row>
    <row r="26" spans="13:18" x14ac:dyDescent="0.35">
      <c r="M26">
        <f>SQRT(4*M10^2+7)</f>
        <v>2.9117917408088871</v>
      </c>
      <c r="R26" t="e">
        <f>R24+R25</f>
        <v>#DIV/0!</v>
      </c>
    </row>
    <row r="27" spans="13:18" x14ac:dyDescent="0.35">
      <c r="M27">
        <f>M25/M26</f>
        <v>0</v>
      </c>
      <c r="R27" t="e">
        <f>R25-R24</f>
        <v>#DIV/0!</v>
      </c>
    </row>
    <row r="28" spans="13:18" x14ac:dyDescent="0.35">
      <c r="M28">
        <f>M24+M27</f>
        <v>2.1134195323823639</v>
      </c>
    </row>
    <row r="29" spans="13:18" x14ac:dyDescent="0.35">
      <c r="M29">
        <f>M24-M27</f>
        <v>2.1134195323823639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7E62B-FA4A-476E-BA7B-3DF222BCBDF1}">
  <sheetPr codeName="Sheet4"/>
  <dimension ref="B2:M29"/>
  <sheetViews>
    <sheetView workbookViewId="0"/>
  </sheetViews>
  <sheetFormatPr defaultRowHeight="14.5" x14ac:dyDescent="0.35"/>
  <cols>
    <col min="1" max="1" width="2.08984375" customWidth="1"/>
    <col min="8" max="8" width="4.6328125" customWidth="1"/>
    <col min="11" max="11" width="4.6328125" customWidth="1"/>
  </cols>
  <sheetData>
    <row r="2" spans="2:13" x14ac:dyDescent="0.35">
      <c r="B2" s="1">
        <v>1.7568518285615402</v>
      </c>
      <c r="C2" s="2">
        <v>2.669374900326599</v>
      </c>
      <c r="D2" s="2">
        <v>2.2648609578910159</v>
      </c>
      <c r="E2" s="2">
        <v>1.7212972729222724</v>
      </c>
      <c r="F2" s="2">
        <v>2.5512754008034939</v>
      </c>
      <c r="G2" s="3">
        <v>1.7446674966390501</v>
      </c>
      <c r="I2" t="s">
        <v>0</v>
      </c>
      <c r="J2" s="10">
        <f>AVERAGE(B2:G11)</f>
        <v>2.1609013176621499</v>
      </c>
      <c r="L2" t="s">
        <v>6</v>
      </c>
      <c r="M2" s="10">
        <v>1.1000000000000001</v>
      </c>
    </row>
    <row r="3" spans="2:13" x14ac:dyDescent="0.35">
      <c r="B3" s="4">
        <v>1.8998094266132839</v>
      </c>
      <c r="C3" s="5">
        <v>2.0116692498924351</v>
      </c>
      <c r="D3" s="5">
        <v>1.9969503472530543</v>
      </c>
      <c r="E3" s="5">
        <v>1.7974476414506908</v>
      </c>
      <c r="F3" s="5">
        <v>1.8586700686767179</v>
      </c>
      <c r="G3" s="6">
        <v>1.7846868969999314</v>
      </c>
      <c r="I3" t="s">
        <v>1</v>
      </c>
      <c r="J3" s="11">
        <f>_xlfn.VAR.S(B2:G11)</f>
        <v>0.23965467056214654</v>
      </c>
      <c r="L3" t="s">
        <v>7</v>
      </c>
      <c r="M3" s="11">
        <v>2</v>
      </c>
    </row>
    <row r="4" spans="2:13" x14ac:dyDescent="0.35">
      <c r="B4" s="4">
        <v>1.6965464792804781</v>
      </c>
      <c r="C4" s="5">
        <v>2.4597518190204313</v>
      </c>
      <c r="D4" s="5">
        <v>2.3324588314747809</v>
      </c>
      <c r="E4" s="5">
        <v>2.2878207535151103</v>
      </c>
      <c r="F4" s="5">
        <v>3.7905724162112726</v>
      </c>
      <c r="G4" s="6">
        <v>2.7816576045050545</v>
      </c>
      <c r="I4" t="s">
        <v>2</v>
      </c>
      <c r="J4" s="11">
        <f>SKEW(B2:G11)</f>
        <v>0.65322064210433506</v>
      </c>
      <c r="L4" t="s">
        <v>8</v>
      </c>
      <c r="M4" s="11">
        <v>3.8</v>
      </c>
    </row>
    <row r="5" spans="2:13" x14ac:dyDescent="0.35">
      <c r="B5" s="4">
        <v>1.9330350691014773</v>
      </c>
      <c r="C5" s="5">
        <v>1.3566806838636352</v>
      </c>
      <c r="D5" s="5">
        <v>1.8613389538032523</v>
      </c>
      <c r="E5" s="5">
        <v>1.9228241872239253</v>
      </c>
      <c r="F5" s="5">
        <v>2.3893579341019171</v>
      </c>
      <c r="G5" s="6">
        <v>1.5632069739860159</v>
      </c>
      <c r="I5" t="s">
        <v>3</v>
      </c>
      <c r="J5" s="11">
        <f>MEDIAN(B2:G11)</f>
        <v>2.063964808075518</v>
      </c>
      <c r="L5" s="13" t="s">
        <v>9</v>
      </c>
      <c r="M5" s="11">
        <f>4*(M3-M2)/(M4-M2)+1</f>
        <v>2.333333333333333</v>
      </c>
    </row>
    <row r="6" spans="2:13" x14ac:dyDescent="0.35">
      <c r="B6" s="4">
        <v>1.1347944090441591</v>
      </c>
      <c r="C6" s="5">
        <v>2.2231725408902738</v>
      </c>
      <c r="D6" s="5">
        <v>2.0145815410600472</v>
      </c>
      <c r="E6" s="5">
        <v>2.143703328080921</v>
      </c>
      <c r="F6" s="5">
        <v>2.8033175815291296</v>
      </c>
      <c r="G6" s="6">
        <v>1.8614951160228093</v>
      </c>
      <c r="I6" t="s">
        <v>4</v>
      </c>
      <c r="J6" s="11">
        <f>MIN(B2:G11)</f>
        <v>1.1347944090441591</v>
      </c>
      <c r="L6" s="13" t="s">
        <v>10</v>
      </c>
      <c r="M6" s="12">
        <f>4*(M4-M3)/(M4-M2)+1</f>
        <v>3.6666666666666665</v>
      </c>
    </row>
    <row r="7" spans="2:13" x14ac:dyDescent="0.35">
      <c r="B7" s="4">
        <v>1.9129866788948706</v>
      </c>
      <c r="C7" s="5">
        <v>2.816544357216201</v>
      </c>
      <c r="D7" s="5">
        <v>2.915588005432677</v>
      </c>
      <c r="E7" s="5">
        <v>1.7768236821396042</v>
      </c>
      <c r="F7" s="5">
        <v>2.099735187548879</v>
      </c>
      <c r="G7" s="6">
        <v>2.1708257132088034</v>
      </c>
      <c r="I7" t="s">
        <v>5</v>
      </c>
      <c r="J7" s="12">
        <f>MAX(B2:G11)</f>
        <v>3.7905724162112726</v>
      </c>
    </row>
    <row r="8" spans="2:13" x14ac:dyDescent="0.35">
      <c r="B8" s="4">
        <v>2.2457215872299119</v>
      </c>
      <c r="C8" s="5">
        <v>2.4424873930967799</v>
      </c>
      <c r="D8" s="5">
        <v>3.0724200959686714</v>
      </c>
      <c r="E8" s="5">
        <v>1.8638399493407907</v>
      </c>
      <c r="F8" s="5">
        <v>2.3498053470079361</v>
      </c>
      <c r="G8" s="6">
        <v>2.6025510379339383</v>
      </c>
      <c r="L8" t="s">
        <v>0</v>
      </c>
      <c r="M8" s="10">
        <f>(M2+4*M3+M4)/6</f>
        <v>2.15</v>
      </c>
    </row>
    <row r="9" spans="2:13" x14ac:dyDescent="0.35">
      <c r="B9" s="4">
        <v>1.7266506764460146</v>
      </c>
      <c r="C9" s="5">
        <v>2.7332222357466986</v>
      </c>
      <c r="D9" s="5">
        <v>2.2582094641086905</v>
      </c>
      <c r="E9" s="5">
        <v>1.5951406427810322</v>
      </c>
      <c r="F9" s="5">
        <v>2.694452162943243</v>
      </c>
      <c r="G9" s="6">
        <v>1.7751124834329528</v>
      </c>
      <c r="L9" t="s">
        <v>1</v>
      </c>
      <c r="M9" s="11">
        <f>(M4-M2)^2/36</f>
        <v>0.20249999999999996</v>
      </c>
    </row>
    <row r="10" spans="2:13" x14ac:dyDescent="0.35">
      <c r="B10" s="4">
        <v>2.7554159035724637</v>
      </c>
      <c r="C10" s="5">
        <v>2.1772022317511017</v>
      </c>
      <c r="D10" s="5">
        <v>2.000938234078014</v>
      </c>
      <c r="E10" s="5">
        <v>2.8329280980860436</v>
      </c>
      <c r="F10" s="5">
        <v>2.4455942517012321</v>
      </c>
      <c r="G10" s="6">
        <v>1.8944106888808758</v>
      </c>
      <c r="L10" t="s">
        <v>2</v>
      </c>
      <c r="M10" s="12">
        <f>(M6-M5)/4*SQRT(7/(M5*M6))</f>
        <v>0.30151134457776368</v>
      </c>
    </row>
    <row r="11" spans="2:13" x14ac:dyDescent="0.35">
      <c r="B11" s="7">
        <v>1.2632023609431977</v>
      </c>
      <c r="C11" s="8">
        <v>2.0426124697519228</v>
      </c>
      <c r="D11" s="8">
        <v>2.9558600490709304</v>
      </c>
      <c r="E11" s="8">
        <v>1.7486508953502482</v>
      </c>
      <c r="F11" s="8">
        <v>1.7859523189213729</v>
      </c>
      <c r="G11" s="9">
        <v>2.0853171463991131</v>
      </c>
    </row>
    <row r="12" spans="2:13" x14ac:dyDescent="0.35">
      <c r="L12" t="s">
        <v>11</v>
      </c>
      <c r="M12" s="14">
        <f>(M8-J2)^2+(M9-J3)^2+(M10-J4)^2</f>
        <v>0.12519873823798705</v>
      </c>
    </row>
    <row r="14" spans="2:13" x14ac:dyDescent="0.35">
      <c r="L14" t="s">
        <v>12</v>
      </c>
      <c r="M14" s="14" t="e" cm="1">
        <f t="array" aca="1" ref="M14" ca="1">PERT_MLE(B2:G11,M2,M3,M4)</f>
        <v>#NAME?</v>
      </c>
    </row>
    <row r="24" spans="13:13" x14ac:dyDescent="0.35">
      <c r="M24">
        <f>3*R13+M8</f>
        <v>2.15</v>
      </c>
    </row>
    <row r="25" spans="13:13" x14ac:dyDescent="0.35">
      <c r="M25">
        <f>6*M10*R13</f>
        <v>0</v>
      </c>
    </row>
    <row r="26" spans="13:13" x14ac:dyDescent="0.35">
      <c r="M26">
        <f>SQRT(4*M10^2+7)</f>
        <v>2.7136021011998728</v>
      </c>
    </row>
    <row r="27" spans="13:13" x14ac:dyDescent="0.35">
      <c r="M27">
        <f>M25/M26</f>
        <v>0</v>
      </c>
    </row>
    <row r="28" spans="13:13" x14ac:dyDescent="0.35">
      <c r="M28">
        <f>M24+M27</f>
        <v>2.15</v>
      </c>
    </row>
    <row r="29" spans="13:13" x14ac:dyDescent="0.35">
      <c r="M29">
        <f>M24-M27</f>
        <v>2.15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DA56E-C9B7-4379-9C64-EF177F72BE48}">
  <sheetPr codeName="Sheet5"/>
  <dimension ref="B2:Y29"/>
  <sheetViews>
    <sheetView workbookViewId="0"/>
  </sheetViews>
  <sheetFormatPr defaultRowHeight="14.5" x14ac:dyDescent="0.35"/>
  <cols>
    <col min="1" max="1" width="2.08984375" customWidth="1"/>
    <col min="8" max="8" width="4.6328125" customWidth="1"/>
    <col min="11" max="11" width="4.6328125" customWidth="1"/>
    <col min="13" max="13" width="8.7265625" customWidth="1"/>
    <col min="17" max="17" width="4.6328125" customWidth="1"/>
    <col min="20" max="20" width="4.6328125" customWidth="1"/>
    <col min="23" max="23" width="4.6328125" customWidth="1"/>
    <col min="25" max="25" width="8.7265625" customWidth="1"/>
  </cols>
  <sheetData>
    <row r="2" spans="2:25" x14ac:dyDescent="0.35">
      <c r="B2" s="1">
        <v>1.7568518285615402</v>
      </c>
      <c r="C2" s="2">
        <v>2.669374900326599</v>
      </c>
      <c r="D2" s="2">
        <v>2.2648609578910159</v>
      </c>
      <c r="E2" s="2">
        <v>1.7212972729222724</v>
      </c>
      <c r="F2" s="2">
        <v>2.5512754008034939</v>
      </c>
      <c r="G2" s="3">
        <v>1.7446674966390501</v>
      </c>
      <c r="I2" t="s">
        <v>0</v>
      </c>
      <c r="J2" s="10">
        <f>AVERAGE(B2:G11)</f>
        <v>2.1609013176621499</v>
      </c>
      <c r="L2" t="s">
        <v>6</v>
      </c>
      <c r="M2" s="10">
        <v>1.1000000000000001</v>
      </c>
      <c r="O2" t="e" cm="1">
        <f t="array" aca="1" ref="O2" ca="1">PERT_FIT(B2:G11,TRUE)</f>
        <v>#NAME?</v>
      </c>
      <c r="P2" s="10"/>
      <c r="R2" t="e" cm="1">
        <f t="array" aca="1" ref="R2" ca="1">PERT_FIT(B2:G11,TRUE,,,50,0.02,0.02)</f>
        <v>#NAME?</v>
      </c>
      <c r="S2" s="10"/>
      <c r="U2" t="e" cm="1">
        <f t="array" aca="1" ref="U2" ca="1">PERT_FIT(B2:G11,TRUE,,,,0.02,0.02)</f>
        <v>#NAME?</v>
      </c>
      <c r="V2" s="10"/>
      <c r="X2" t="e" cm="1">
        <f t="array" aca="1" ref="X2" ca="1">PERT_FIT(B2:G11,TRUE,1.1253,3.8105,1000)</f>
        <v>#NAME?</v>
      </c>
      <c r="Y2" s="10"/>
    </row>
    <row r="3" spans="2:25" x14ac:dyDescent="0.35">
      <c r="B3" s="4">
        <v>1.8998094266132839</v>
      </c>
      <c r="C3" s="5">
        <v>2.0116692498924351</v>
      </c>
      <c r="D3" s="5">
        <v>1.9969503472530543</v>
      </c>
      <c r="E3" s="5">
        <v>1.7974476414506908</v>
      </c>
      <c r="F3" s="5">
        <v>1.8586700686767179</v>
      </c>
      <c r="G3" s="6">
        <v>1.7846868969999314</v>
      </c>
      <c r="I3" t="s">
        <v>1</v>
      </c>
      <c r="J3" s="11">
        <f>_xlfn.VAR.S(B2:G11)</f>
        <v>0.23965467056214654</v>
      </c>
      <c r="L3" t="s">
        <v>7</v>
      </c>
      <c r="M3" s="11">
        <v>2</v>
      </c>
      <c r="P3" s="11"/>
      <c r="S3" s="11"/>
      <c r="V3" s="11"/>
      <c r="Y3" s="11"/>
    </row>
    <row r="4" spans="2:25" x14ac:dyDescent="0.35">
      <c r="B4" s="4">
        <v>1.6965464792804781</v>
      </c>
      <c r="C4" s="5">
        <v>2.4597518190204313</v>
      </c>
      <c r="D4" s="5">
        <v>2.3324588314747809</v>
      </c>
      <c r="E4" s="5">
        <v>2.2878207535151103</v>
      </c>
      <c r="F4" s="5">
        <v>3.7905724162112726</v>
      </c>
      <c r="G4" s="6">
        <v>2.7816576045050545</v>
      </c>
      <c r="I4" t="s">
        <v>2</v>
      </c>
      <c r="J4" s="11">
        <f>SKEW(B2:G11)</f>
        <v>0.65322064210433506</v>
      </c>
      <c r="L4" t="s">
        <v>8</v>
      </c>
      <c r="M4" s="11">
        <v>3.8</v>
      </c>
      <c r="P4" s="11"/>
      <c r="S4" s="11"/>
      <c r="V4" s="11"/>
      <c r="Y4" s="11"/>
    </row>
    <row r="5" spans="2:25" x14ac:dyDescent="0.35">
      <c r="B5" s="4">
        <v>1.9330350691014773</v>
      </c>
      <c r="C5" s="5">
        <v>1.3566806838636352</v>
      </c>
      <c r="D5" s="5">
        <v>1.8613389538032523</v>
      </c>
      <c r="E5" s="5">
        <v>1.9228241872239253</v>
      </c>
      <c r="F5" s="5">
        <v>2.3893579341019171</v>
      </c>
      <c r="G5" s="6">
        <v>1.5632069739860159</v>
      </c>
      <c r="I5" t="s">
        <v>3</v>
      </c>
      <c r="J5" s="11">
        <f>MEDIAN(B2:G11)</f>
        <v>2.063964808075518</v>
      </c>
      <c r="L5" s="13" t="s">
        <v>9</v>
      </c>
      <c r="M5" s="11">
        <f>4*(M3-M2)/(M4-M2)+1</f>
        <v>2.333333333333333</v>
      </c>
      <c r="P5" s="11"/>
      <c r="S5" s="11"/>
      <c r="V5" s="11"/>
      <c r="Y5" s="11"/>
    </row>
    <row r="6" spans="2:25" x14ac:dyDescent="0.35">
      <c r="B6" s="4">
        <v>1.1347944090441591</v>
      </c>
      <c r="C6" s="5">
        <v>2.2231725408902738</v>
      </c>
      <c r="D6" s="5">
        <v>2.0145815410600472</v>
      </c>
      <c r="E6" s="5">
        <v>2.143703328080921</v>
      </c>
      <c r="F6" s="5">
        <v>2.8033175815291296</v>
      </c>
      <c r="G6" s="6">
        <v>1.8614951160228093</v>
      </c>
      <c r="I6" t="s">
        <v>4</v>
      </c>
      <c r="J6" s="11">
        <f>MIN(B2:G11)</f>
        <v>1.1347944090441591</v>
      </c>
      <c r="L6" s="13" t="s">
        <v>10</v>
      </c>
      <c r="M6" s="12">
        <f>4*(M4-M3)/(M4-M2)+1</f>
        <v>3.6666666666666665</v>
      </c>
      <c r="P6" s="11"/>
      <c r="S6" s="11"/>
      <c r="V6" s="11"/>
      <c r="Y6" s="11"/>
    </row>
    <row r="7" spans="2:25" x14ac:dyDescent="0.35">
      <c r="B7" s="4">
        <v>1.9129866788948706</v>
      </c>
      <c r="C7" s="5">
        <v>2.816544357216201</v>
      </c>
      <c r="D7" s="5">
        <v>2.915588005432677</v>
      </c>
      <c r="E7" s="5">
        <v>1.7768236821396042</v>
      </c>
      <c r="F7" s="5">
        <v>2.099735187548879</v>
      </c>
      <c r="G7" s="6">
        <v>2.1708257132088034</v>
      </c>
      <c r="I7" t="s">
        <v>5</v>
      </c>
      <c r="J7" s="12">
        <f>MAX(B2:G11)</f>
        <v>3.7905724162112726</v>
      </c>
      <c r="P7" s="11"/>
      <c r="S7" s="11"/>
      <c r="V7" s="11"/>
      <c r="Y7" s="11"/>
    </row>
    <row r="8" spans="2:25" x14ac:dyDescent="0.35">
      <c r="B8" s="4">
        <v>2.2457215872299119</v>
      </c>
      <c r="C8" s="5">
        <v>2.4424873930967799</v>
      </c>
      <c r="D8" s="5">
        <v>3.0724200959686714</v>
      </c>
      <c r="E8" s="5">
        <v>1.8638399493407907</v>
      </c>
      <c r="F8" s="5">
        <v>2.3498053470079361</v>
      </c>
      <c r="G8" s="6">
        <v>2.6025510379339383</v>
      </c>
      <c r="L8" t="s">
        <v>0</v>
      </c>
      <c r="M8" s="10">
        <f>(M2+4*M3+M4)/6</f>
        <v>2.15</v>
      </c>
      <c r="P8" s="11"/>
      <c r="S8" s="11"/>
      <c r="V8" s="11"/>
      <c r="Y8" s="11"/>
    </row>
    <row r="9" spans="2:25" x14ac:dyDescent="0.35">
      <c r="B9" s="4">
        <v>1.7266506764460146</v>
      </c>
      <c r="C9" s="5">
        <v>2.7332222357466986</v>
      </c>
      <c r="D9" s="5">
        <v>2.2582094641086905</v>
      </c>
      <c r="E9" s="5">
        <v>1.5951406427810322</v>
      </c>
      <c r="F9" s="5">
        <v>2.694452162943243</v>
      </c>
      <c r="G9" s="6">
        <v>1.7751124834329528</v>
      </c>
      <c r="L9" t="s">
        <v>1</v>
      </c>
      <c r="M9" s="11">
        <f>(M4-M2)^2/36</f>
        <v>0.20249999999999996</v>
      </c>
      <c r="P9" s="11"/>
      <c r="S9" s="11"/>
      <c r="V9" s="11"/>
      <c r="Y9" s="11"/>
    </row>
    <row r="10" spans="2:25" x14ac:dyDescent="0.35">
      <c r="B10" s="4">
        <v>2.7554159035724637</v>
      </c>
      <c r="C10" s="5">
        <v>2.1772022317511017</v>
      </c>
      <c r="D10" s="5">
        <v>2.000938234078014</v>
      </c>
      <c r="E10" s="5">
        <v>2.8329280980860436</v>
      </c>
      <c r="F10" s="5">
        <v>2.4455942517012321</v>
      </c>
      <c r="G10" s="6">
        <v>1.8944106888808758</v>
      </c>
      <c r="L10" t="s">
        <v>2</v>
      </c>
      <c r="M10" s="12">
        <f>(M6-M5)/4*SQRT(7/(M5*M6))</f>
        <v>0.30151134457776368</v>
      </c>
      <c r="P10" s="11"/>
      <c r="S10" s="11"/>
      <c r="V10" s="11"/>
      <c r="Y10" s="11"/>
    </row>
    <row r="11" spans="2:25" x14ac:dyDescent="0.35">
      <c r="B11" s="7">
        <v>1.2632023609431977</v>
      </c>
      <c r="C11" s="8">
        <v>2.0426124697519228</v>
      </c>
      <c r="D11" s="8">
        <v>2.9558600490709304</v>
      </c>
      <c r="E11" s="8">
        <v>1.7486508953502482</v>
      </c>
      <c r="F11" s="8">
        <v>1.7859523189213729</v>
      </c>
      <c r="G11" s="9">
        <v>2.0853171463991131</v>
      </c>
      <c r="P11" s="11"/>
      <c r="S11" s="11"/>
      <c r="V11" s="11"/>
      <c r="Y11" s="11"/>
    </row>
    <row r="12" spans="2:25" x14ac:dyDescent="0.35">
      <c r="L12" t="s">
        <v>11</v>
      </c>
      <c r="M12" s="14">
        <f>(M8-J2)^2+(M9-J3)^2+(M10-J4)^2</f>
        <v>0.12519873823798705</v>
      </c>
      <c r="P12" s="12"/>
      <c r="S12" s="12"/>
      <c r="V12" s="12"/>
      <c r="Y12" s="12"/>
    </row>
    <row r="14" spans="2:25" x14ac:dyDescent="0.35">
      <c r="L14" t="s">
        <v>12</v>
      </c>
      <c r="M14" s="14" t="e" cm="1">
        <f t="array" aca="1" ref="M14" ca="1">PERT_MLE(B2:G11,M2,M3,M4)</f>
        <v>#NAME?</v>
      </c>
      <c r="O14" t="e" cm="1">
        <f t="array" aca="1" ref="O14" ca="1">FTEXT(O2)</f>
        <v>#NAME?</v>
      </c>
    </row>
    <row r="15" spans="2:25" x14ac:dyDescent="0.35">
      <c r="O15" t="e" cm="1">
        <f t="array" aca="1" ref="O15" ca="1">FTEXT(R2)</f>
        <v>#NAME?</v>
      </c>
    </row>
    <row r="16" spans="2:25" x14ac:dyDescent="0.35">
      <c r="O16" t="e" cm="1">
        <f t="array" aca="1" ref="O16" ca="1">FTEXT(U2)</f>
        <v>#NAME?</v>
      </c>
    </row>
    <row r="17" spans="13:15" x14ac:dyDescent="0.35">
      <c r="O17" t="e" cm="1">
        <f t="array" aca="1" ref="O17" ca="1">FTEXT(X2)</f>
        <v>#NAME?</v>
      </c>
    </row>
    <row r="24" spans="13:15" x14ac:dyDescent="0.35">
      <c r="M24">
        <f>3*R13+M8</f>
        <v>2.15</v>
      </c>
    </row>
    <row r="25" spans="13:15" x14ac:dyDescent="0.35">
      <c r="M25">
        <f>6*M10*R13</f>
        <v>0</v>
      </c>
    </row>
    <row r="26" spans="13:15" x14ac:dyDescent="0.35">
      <c r="M26">
        <f>SQRT(4*M10^2+7)</f>
        <v>2.7136021011998728</v>
      </c>
    </row>
    <row r="27" spans="13:15" x14ac:dyDescent="0.35">
      <c r="M27">
        <f>M25/M26</f>
        <v>0</v>
      </c>
    </row>
    <row r="28" spans="13:15" x14ac:dyDescent="0.35">
      <c r="M28">
        <f>M24+M27</f>
        <v>2.15</v>
      </c>
    </row>
    <row r="29" spans="13:15" x14ac:dyDescent="0.35">
      <c r="M29">
        <f>M24-M27</f>
        <v>2.15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</vt:lpstr>
      <vt:lpstr>MoM 1a</vt:lpstr>
      <vt:lpstr>MoM 1</vt:lpstr>
      <vt:lpstr>MoM 2a</vt:lpstr>
      <vt:lpstr>MoM 2b</vt:lpstr>
      <vt:lpstr>MLE 1</vt:lpstr>
      <vt:lpstr>MLE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2023-07-16T17:01:51Z</dcterms:created>
  <dcterms:modified xsi:type="dcterms:W3CDTF">2023-07-23T17:10:17Z</dcterms:modified>
</cp:coreProperties>
</file>