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797A5AB-720E-4F12-B3B3-47F50FE005B5}" xr6:coauthVersionLast="47" xr6:coauthVersionMax="47" xr10:uidLastSave="{00000000-0000-0000-0000-000000000000}"/>
  <bookViews>
    <workbookView xWindow="-110" yWindow="-110" windowWidth="19420" windowHeight="10300" xr2:uid="{A760BA23-DF52-4CCD-B3D2-C20CFBD129AC}"/>
  </bookViews>
  <sheets>
    <sheet name="Title" sheetId="12" r:id="rId1"/>
    <sheet name="MLE" sheetId="1" r:id="rId2"/>
    <sheet name="MoM 1" sheetId="2" r:id="rId3"/>
    <sheet name="MoM 2" sheetId="3" r:id="rId4"/>
    <sheet name="MoM 3" sheetId="6" r:id="rId5"/>
    <sheet name="MoM 4" sheetId="7" r:id="rId6"/>
  </sheets>
  <definedNames>
    <definedName name="solver_adj" localSheetId="3" hidden="1">'MoM 2'!$M$2:$M$4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lhs1" localSheetId="3" hidden="1">'MoM 2'!$J$7</definedName>
    <definedName name="solver_lhs2" localSheetId="3" hidden="1">'MoM 2'!$M$2</definedName>
    <definedName name="solver_lhs3" localSheetId="3" hidden="1">'MoM 2'!$M$2</definedName>
    <definedName name="solver_lhs4" localSheetId="3" hidden="1">'MoM 2'!$M$3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4</definedName>
    <definedName name="solver_nwt" localSheetId="3" hidden="1">1</definedName>
    <definedName name="solver_opt" localSheetId="3" hidden="1">'MoM 2'!$M$10</definedName>
    <definedName name="solver_pre" localSheetId="3" hidden="1">0.000001</definedName>
    <definedName name="solver_rbv" localSheetId="3" hidden="1">1</definedName>
    <definedName name="solver_rel1" localSheetId="3" hidden="1">1</definedName>
    <definedName name="solver_rel2" localSheetId="3" hidden="1">1</definedName>
    <definedName name="solver_rel3" localSheetId="3" hidden="1">1</definedName>
    <definedName name="solver_rel4" localSheetId="3" hidden="1">1</definedName>
    <definedName name="solver_rhs1" localSheetId="3" hidden="1">'MoM 2'!$M$4</definedName>
    <definedName name="solver_rhs2" localSheetId="3" hidden="1">'MoM 2'!$J$6</definedName>
    <definedName name="solver_rhs3" localSheetId="3" hidden="1">'MoM 2'!$M$3</definedName>
    <definedName name="solver_rhs4" localSheetId="3" hidden="1">'MoM 2'!$M$4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7" l="1" a="1"/>
  <c r="X16" i="7" s="1"/>
  <c r="X15" i="7" a="1"/>
  <c r="X15" i="7" s="1"/>
  <c r="R15" i="7" a="1"/>
  <c r="R15" i="7" s="1"/>
  <c r="L15" i="7" a="1"/>
  <c r="L15" i="7" s="1"/>
  <c r="X14" i="7" a="1"/>
  <c r="X14" i="7" s="1"/>
  <c r="R14" i="7" a="1"/>
  <c r="R14" i="7" s="1"/>
  <c r="L14" i="7" a="1"/>
  <c r="L14" i="7" s="1"/>
  <c r="AD2" i="7" a="1"/>
  <c r="AD2" i="7" s="1"/>
  <c r="AA2" i="7" a="1"/>
  <c r="AA2" i="7" s="1"/>
  <c r="X2" i="7" a="1"/>
  <c r="X2" i="7" s="1"/>
  <c r="U2" i="7" a="1"/>
  <c r="U2" i="7" s="1"/>
  <c r="R2" i="7" a="1"/>
  <c r="R2" i="7" s="1"/>
  <c r="O2" i="7" a="1"/>
  <c r="O2" i="7" s="1"/>
  <c r="L2" i="7" a="1"/>
  <c r="L2" i="7" s="1"/>
  <c r="T12" i="6" a="1"/>
  <c r="T12" i="6" s="1"/>
  <c r="R12" i="6" a="1"/>
  <c r="R12" i="6" s="1"/>
  <c r="O12" i="6" a="1"/>
  <c r="O12" i="6" s="1"/>
  <c r="M12" i="6" a="1"/>
  <c r="M12" i="6" s="1"/>
  <c r="T9" i="6" a="1"/>
  <c r="T9" i="6" s="1"/>
  <c r="O9" i="6" a="1"/>
  <c r="O9" i="6" s="1"/>
  <c r="O8" i="6" a="1"/>
  <c r="O8" i="6" s="1"/>
  <c r="T6" i="6" a="1"/>
  <c r="T6" i="6" s="1"/>
  <c r="R6" i="6" a="1"/>
  <c r="R6" i="6" s="1"/>
  <c r="O6" i="6" a="1"/>
  <c r="O6" i="6" s="1"/>
  <c r="M6" i="6" a="1"/>
  <c r="M6" i="6" s="1"/>
  <c r="O4" i="6" a="1"/>
  <c r="O4" i="6" s="1"/>
  <c r="T3" i="6" a="1"/>
  <c r="T3" i="6" s="1"/>
  <c r="O3" i="6" a="1"/>
  <c r="O3" i="6" s="1"/>
  <c r="F14" i="3" a="1"/>
  <c r="F14" i="3" s="1"/>
  <c r="C14" i="3" a="1"/>
  <c r="C14" i="3" s="1"/>
  <c r="O12" i="3" a="1"/>
  <c r="O12" i="3" s="1"/>
  <c r="M12" i="3" a="1"/>
  <c r="M12" i="3" s="1"/>
  <c r="O10" i="3" a="1"/>
  <c r="O10" i="3" s="1"/>
  <c r="O8" i="3" a="1"/>
  <c r="O8" i="3" s="1"/>
  <c r="O7" i="3" a="1"/>
  <c r="O7" i="3" s="1"/>
  <c r="O6" i="3" a="1"/>
  <c r="O6" i="3" s="1"/>
  <c r="O10" i="2" a="1"/>
  <c r="O10" i="2" s="1"/>
  <c r="O8" i="2" a="1"/>
  <c r="O8" i="2" s="1"/>
  <c r="O7" i="2" a="1"/>
  <c r="O7" i="2" s="1"/>
  <c r="O6" i="2" a="1"/>
  <c r="O6" i="2" s="1"/>
  <c r="L16" i="1" a="1"/>
  <c r="L16" i="1" s="1"/>
  <c r="V15" i="1" a="1"/>
  <c r="V15" i="1" s="1"/>
  <c r="L15" i="1" a="1"/>
  <c r="L15" i="1" s="1"/>
  <c r="V14" i="1" a="1"/>
  <c r="V14" i="1" s="1"/>
  <c r="L14" i="1" a="1"/>
  <c r="L14" i="1" s="1"/>
  <c r="Y2" i="1" a="1"/>
  <c r="Y2" i="1" s="1"/>
  <c r="V2" i="1" a="1"/>
  <c r="V2" i="1" s="1"/>
  <c r="R2" i="1" a="1"/>
  <c r="R2" i="1" s="1"/>
  <c r="O2" i="1" a="1"/>
  <c r="O2" i="1" s="1"/>
  <c r="L2" i="1" a="1"/>
  <c r="L2" i="1" s="1"/>
  <c r="M4" i="6" l="1"/>
  <c r="M3" i="6" s="1"/>
  <c r="J7" i="7"/>
  <c r="J6" i="7"/>
  <c r="J5" i="7"/>
  <c r="J4" i="7"/>
  <c r="J3" i="7"/>
  <c r="J2" i="7"/>
  <c r="M8" i="6"/>
  <c r="M9" i="6" s="1"/>
  <c r="R9" i="6"/>
  <c r="R3" i="6"/>
  <c r="J7" i="6"/>
  <c r="J6" i="6"/>
  <c r="J5" i="6"/>
  <c r="J4" i="6"/>
  <c r="J3" i="6"/>
  <c r="J2" i="6"/>
  <c r="M7" i="3"/>
  <c r="M8" i="3" s="1"/>
  <c r="J7" i="3"/>
  <c r="M6" i="3"/>
  <c r="J6" i="3"/>
  <c r="J5" i="3"/>
  <c r="J4" i="3"/>
  <c r="J3" i="3"/>
  <c r="J2" i="3"/>
  <c r="M10" i="2"/>
  <c r="M8" i="2"/>
  <c r="M7" i="2"/>
  <c r="M6" i="2"/>
  <c r="J3" i="2"/>
  <c r="J3" i="1"/>
  <c r="J7" i="2"/>
  <c r="J6" i="2"/>
  <c r="J5" i="2"/>
  <c r="J4" i="2"/>
  <c r="J2" i="2"/>
  <c r="M10" i="3" l="1"/>
  <c r="J7" i="1"/>
  <c r="J6" i="1"/>
  <c r="J5" i="1"/>
  <c r="J4" i="1"/>
  <c r="J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<sst xmlns="http://schemas.openxmlformats.org/spreadsheetml/2006/main" count="67" uniqueCount="15">
  <si>
    <t>mean</t>
  </si>
  <si>
    <t>skew</t>
  </si>
  <si>
    <t>median</t>
  </si>
  <si>
    <t>min</t>
  </si>
  <si>
    <t>max</t>
  </si>
  <si>
    <t>var</t>
  </si>
  <si>
    <t>a</t>
  </si>
  <si>
    <t>b</t>
  </si>
  <si>
    <t>c</t>
  </si>
  <si>
    <t>mle</t>
  </si>
  <si>
    <t>sumsq</t>
  </si>
  <si>
    <t>Real Statistics Using Excel</t>
  </si>
  <si>
    <t>Updated</t>
  </si>
  <si>
    <t>Copyright © 2013 - 2023 Charles Zaiontz</t>
  </si>
  <si>
    <t>Fitting a Triangular Distribution MoM MLE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</si>
</sst>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9CA3-1D3F-4A26-9CD8-ED6BF98950A2}">
  <sheetPr codeName="Sheet12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11</v>
      </c>
    </row>
    <row r="2" spans="1:2" x14ac:dyDescent="0.35">
      <c r="A2" t="s">
        <v>14</v>
      </c>
    </row>
    <row r="4" spans="1:2" x14ac:dyDescent="0.35">
      <c r="A4" t="s">
        <v>12</v>
      </c>
      <c r="B4" s="13">
        <v>45130</v>
      </c>
    </row>
    <row r="6" spans="1:2" x14ac:dyDescent="0.35">
      <c r="A6" s="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7A7C-9B4F-448C-8A76-A45F3D00118F}">
  <sheetPr codeName="Sheet1"/>
  <dimension ref="B2:Z16"/>
  <sheetViews>
    <sheetView workbookViewId="0"/>
  </sheetViews>
  <sheetFormatPr defaultRowHeight="14.5" x14ac:dyDescent="0.35"/>
  <cols>
    <col min="1" max="1" width="3.08984375" customWidth="1"/>
    <col min="8" max="8" width="4.6328125" customWidth="1"/>
    <col min="11" max="11" width="2.7265625" customWidth="1"/>
    <col min="14" max="14" width="4.6328125" customWidth="1"/>
    <col min="17" max="17" width="4.6328125" customWidth="1"/>
    <col min="21" max="21" width="3.08984375" customWidth="1"/>
  </cols>
  <sheetData>
    <row r="2" spans="2:26" x14ac:dyDescent="0.35">
      <c r="B2" s="1">
        <v>1.5117513954784509</v>
      </c>
      <c r="C2" s="2">
        <v>2.0251339953881917</v>
      </c>
      <c r="D2" s="2">
        <v>2.1603473567435234</v>
      </c>
      <c r="E2" s="2">
        <v>2.6221008890603565</v>
      </c>
      <c r="F2" s="2">
        <v>1.600866661347027</v>
      </c>
      <c r="G2" s="3">
        <v>1.5124305215526239</v>
      </c>
      <c r="I2" t="s">
        <v>0</v>
      </c>
      <c r="J2" s="4">
        <f>AVERAGE(B2:G11)</f>
        <v>2.1753728297585577</v>
      </c>
      <c r="L2" t="e" cm="1">
        <f t="array" aca="1" ref="L2" ca="1">TRIANG_FIT(B2:G11,TRUE,1)</f>
        <v>#NAME?</v>
      </c>
      <c r="M2" s="4"/>
      <c r="O2" t="e" cm="1">
        <f t="array" aca="1" ref="O2" ca="1">TRIANG_FIT(B2:G11,TRUE,,4)</f>
        <v>#NAME?</v>
      </c>
      <c r="P2" s="4"/>
      <c r="R2" t="e" cm="1">
        <f t="array" aca="1" ref="R2" ca="1">TRIANG_FIT(B2:G11,TRUE,1,4)</f>
        <v>#NAME?</v>
      </c>
      <c r="S2" s="4"/>
      <c r="V2" t="e" cm="1">
        <f t="array" aca="1" ref="V2" ca="1">TRIANG_FIT(B2:G11,TRUE)</f>
        <v>#NAME?</v>
      </c>
      <c r="W2" s="4"/>
      <c r="Y2" t="e" cm="1">
        <f t="array" aca="1" ref="Y2" ca="1">TRIANG_FIT(B2:G11,TRUE,,,100,0.1,0.2)</f>
        <v>#NAME?</v>
      </c>
      <c r="Z2" s="4"/>
    </row>
    <row r="3" spans="2:26" x14ac:dyDescent="0.35">
      <c r="B3" s="5">
        <v>2.531761673543897</v>
      </c>
      <c r="C3">
        <v>2.2307826511651374</v>
      </c>
      <c r="D3">
        <v>2.2177889834689917</v>
      </c>
      <c r="E3">
        <v>1.3729545018853702</v>
      </c>
      <c r="F3">
        <v>2.117963193271506</v>
      </c>
      <c r="G3" s="6">
        <v>2.8086425372670236</v>
      </c>
      <c r="I3" t="s">
        <v>5</v>
      </c>
      <c r="J3" s="7">
        <f>_xlfn.VAR.S(B2:G11)</f>
        <v>0.27301754447026622</v>
      </c>
      <c r="M3" s="7"/>
      <c r="P3" s="7"/>
      <c r="S3" s="7"/>
      <c r="W3" s="7"/>
      <c r="Z3" s="7"/>
    </row>
    <row r="4" spans="2:26" x14ac:dyDescent="0.35">
      <c r="B4" s="5">
        <v>1.884137340588802</v>
      </c>
      <c r="C4">
        <v>1.8782283600177259</v>
      </c>
      <c r="D4">
        <v>1.7380570009120468</v>
      </c>
      <c r="E4">
        <v>1.759075493173097</v>
      </c>
      <c r="F4">
        <v>1.5113271072275718</v>
      </c>
      <c r="G4" s="6">
        <v>1.7812272543025003</v>
      </c>
      <c r="I4" t="s">
        <v>1</v>
      </c>
      <c r="J4" s="7">
        <f>SKEW(B2:G11)</f>
        <v>0.24129613299559807</v>
      </c>
      <c r="M4" s="7"/>
      <c r="P4" s="7"/>
      <c r="S4" s="7"/>
      <c r="W4" s="7"/>
      <c r="Z4" s="7"/>
    </row>
    <row r="5" spans="2:26" x14ac:dyDescent="0.35">
      <c r="B5" s="5">
        <v>2.5026057944216626</v>
      </c>
      <c r="C5">
        <v>1.4723616129263406</v>
      </c>
      <c r="D5">
        <v>2.878504637143573</v>
      </c>
      <c r="E5">
        <v>2.1746202175900087</v>
      </c>
      <c r="F5">
        <v>1.7840653608176134</v>
      </c>
      <c r="G5" s="6">
        <v>2.0953165962462066</v>
      </c>
      <c r="I5" t="s">
        <v>2</v>
      </c>
      <c r="J5" s="7">
        <f>MEDIAN(B2:G11)</f>
        <v>2.1391552750075147</v>
      </c>
      <c r="M5" s="7"/>
      <c r="P5" s="7"/>
      <c r="S5" s="7"/>
      <c r="W5" s="7"/>
      <c r="Z5" s="7"/>
    </row>
    <row r="6" spans="2:26" x14ac:dyDescent="0.35">
      <c r="B6" s="5">
        <v>2.4732522565234785</v>
      </c>
      <c r="C6">
        <v>2.2993762005461091</v>
      </c>
      <c r="D6">
        <v>1.3478798842709387</v>
      </c>
      <c r="E6">
        <v>2.1904928766703793</v>
      </c>
      <c r="F6">
        <v>2.4316587748557854</v>
      </c>
      <c r="G6" s="6">
        <v>2.7059803990797691</v>
      </c>
      <c r="I6" t="s">
        <v>3</v>
      </c>
      <c r="J6" s="7">
        <f>MIN(B2:G11)</f>
        <v>1.1637644822698319</v>
      </c>
      <c r="M6" s="7"/>
      <c r="P6" s="7"/>
      <c r="S6" s="7"/>
      <c r="W6" s="7"/>
      <c r="Z6" s="7"/>
    </row>
    <row r="7" spans="2:26" x14ac:dyDescent="0.35">
      <c r="B7" s="5">
        <v>1.4459071266298893</v>
      </c>
      <c r="C7">
        <v>2.3343643407310184</v>
      </c>
      <c r="D7">
        <v>1.91496075021904</v>
      </c>
      <c r="E7">
        <v>1.9122545684378776</v>
      </c>
      <c r="F7">
        <v>2.0516702904147315</v>
      </c>
      <c r="G7" s="6">
        <v>2.541954207003581</v>
      </c>
      <c r="I7" t="s">
        <v>4</v>
      </c>
      <c r="J7" s="8">
        <f>MAX(B2:G11)</f>
        <v>3.3210551981268774</v>
      </c>
      <c r="M7" s="7"/>
      <c r="P7" s="7"/>
      <c r="S7" s="7"/>
      <c r="W7" s="7"/>
      <c r="Z7" s="7"/>
    </row>
    <row r="8" spans="2:26" x14ac:dyDescent="0.35">
      <c r="B8" s="5">
        <v>1.3374408014733075</v>
      </c>
      <c r="C8">
        <v>2.2886133761085752</v>
      </c>
      <c r="D8">
        <v>1.9432939146199923</v>
      </c>
      <c r="E8">
        <v>2.2583466551623399</v>
      </c>
      <c r="F8">
        <v>3.3210551981268774</v>
      </c>
      <c r="G8" s="6">
        <v>3.2039279658447604</v>
      </c>
      <c r="M8" s="7"/>
      <c r="P8" s="7"/>
      <c r="S8" s="7"/>
      <c r="W8" s="7"/>
      <c r="Z8" s="7"/>
    </row>
    <row r="9" spans="2:26" x14ac:dyDescent="0.35">
      <c r="B9" s="5">
        <v>2.6425807060490367</v>
      </c>
      <c r="C9">
        <v>2.1138682905212978</v>
      </c>
      <c r="D9">
        <v>3.0041339822705635</v>
      </c>
      <c r="E9">
        <v>3.0117634648203619</v>
      </c>
      <c r="F9">
        <v>2.6274994475393765</v>
      </c>
      <c r="G9" s="6">
        <v>2.373045990994842</v>
      </c>
      <c r="M9" s="7"/>
      <c r="P9" s="7"/>
      <c r="S9" s="7"/>
      <c r="W9" s="7"/>
      <c r="Z9" s="7"/>
    </row>
    <row r="10" spans="2:26" x14ac:dyDescent="0.35">
      <c r="B10" s="5">
        <v>1.6423692147469635</v>
      </c>
      <c r="C10">
        <v>2.816947918921465</v>
      </c>
      <c r="D10">
        <v>1.1637644822698319</v>
      </c>
      <c r="E10">
        <v>2.7224771262073508</v>
      </c>
      <c r="F10">
        <v>2.4681910680243919</v>
      </c>
      <c r="G10" s="6">
        <v>1.8528044312435292</v>
      </c>
      <c r="M10" s="7"/>
      <c r="P10" s="7"/>
      <c r="S10" s="7"/>
      <c r="W10" s="7"/>
      <c r="Z10" s="7"/>
    </row>
    <row r="11" spans="2:26" x14ac:dyDescent="0.35">
      <c r="B11" s="9">
        <v>2.8602653136428211</v>
      </c>
      <c r="C11" s="10">
        <v>1.9268344254784757</v>
      </c>
      <c r="D11" s="10">
        <v>1.9283750126632031</v>
      </c>
      <c r="E11" s="10">
        <v>3.2812653636439091</v>
      </c>
      <c r="F11" s="10">
        <v>1.8909404365000471</v>
      </c>
      <c r="G11" s="11">
        <v>2.020762387718313</v>
      </c>
      <c r="M11" s="7"/>
      <c r="P11" s="7"/>
      <c r="S11" s="7"/>
      <c r="W11" s="7"/>
      <c r="Z11" s="7"/>
    </row>
    <row r="12" spans="2:26" x14ac:dyDescent="0.35">
      <c r="M12" s="8"/>
      <c r="P12" s="8"/>
      <c r="S12" s="8"/>
      <c r="W12" s="8"/>
      <c r="Z12" s="8"/>
    </row>
    <row r="14" spans="2:26" x14ac:dyDescent="0.35">
      <c r="L14" t="e" cm="1">
        <f t="array" aca="1" ref="L14" ca="1">FTEXT(L2)</f>
        <v>#NAME?</v>
      </c>
      <c r="V14" t="e" cm="1">
        <f t="array" aca="1" ref="V14" ca="1">FTEXT(V2)</f>
        <v>#NAME?</v>
      </c>
    </row>
    <row r="15" spans="2:26" x14ac:dyDescent="0.35">
      <c r="L15" t="e" cm="1">
        <f t="array" aca="1" ref="L15" ca="1">FTEXT(O2)</f>
        <v>#NAME?</v>
      </c>
      <c r="V15" t="e" cm="1">
        <f t="array" aca="1" ref="V15" ca="1">FTEXT(Y2)</f>
        <v>#NAME?</v>
      </c>
    </row>
    <row r="16" spans="2:26" x14ac:dyDescent="0.35">
      <c r="L16" t="e" cm="1">
        <f t="array" aca="1" ref="L16" ca="1">FTEXT(R2)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88DF-02D7-44A5-AD4E-F62AEA2E24FD}">
  <sheetPr codeName="Sheet2"/>
  <dimension ref="B2:O11"/>
  <sheetViews>
    <sheetView workbookViewId="0"/>
  </sheetViews>
  <sheetFormatPr defaultRowHeight="14.5" x14ac:dyDescent="0.35"/>
  <cols>
    <col min="1" max="1" width="3.08984375" customWidth="1"/>
    <col min="8" max="8" width="4.6328125" customWidth="1"/>
    <col min="11" max="11" width="4.6328125" customWidth="1"/>
    <col min="12" max="12" width="6.7265625" customWidth="1"/>
    <col min="14" max="14" width="3.08984375" customWidth="1"/>
    <col min="15" max="15" width="66.54296875" customWidth="1"/>
  </cols>
  <sheetData>
    <row r="2" spans="2:15" x14ac:dyDescent="0.35">
      <c r="B2" s="1">
        <v>1.5117513954784509</v>
      </c>
      <c r="C2" s="2">
        <v>2.0251339953881917</v>
      </c>
      <c r="D2" s="2">
        <v>2.1603473567435234</v>
      </c>
      <c r="E2" s="2">
        <v>2.6221008890603565</v>
      </c>
      <c r="F2" s="2">
        <v>1.600866661347027</v>
      </c>
      <c r="G2" s="3">
        <v>1.5124305215526239</v>
      </c>
      <c r="I2" t="s">
        <v>0</v>
      </c>
      <c r="J2" s="4">
        <f>AVERAGE(B2:G11)</f>
        <v>2.1753728297585577</v>
      </c>
      <c r="L2" t="s">
        <v>6</v>
      </c>
      <c r="M2" s="4">
        <v>1</v>
      </c>
    </row>
    <row r="3" spans="2:15" x14ac:dyDescent="0.35">
      <c r="B3" s="5">
        <v>2.531761673543897</v>
      </c>
      <c r="C3">
        <v>2.2307826511651374</v>
      </c>
      <c r="D3">
        <v>2.2177889834689917</v>
      </c>
      <c r="E3">
        <v>1.3729545018853702</v>
      </c>
      <c r="F3">
        <v>2.117963193271506</v>
      </c>
      <c r="G3" s="6">
        <v>2.8086425372670236</v>
      </c>
      <c r="I3" t="s">
        <v>5</v>
      </c>
      <c r="J3" s="7">
        <f>_xlfn.VAR.S(B2:G11)</f>
        <v>0.27301754447026622</v>
      </c>
      <c r="L3" t="s">
        <v>7</v>
      </c>
      <c r="M3" s="7">
        <v>3</v>
      </c>
    </row>
    <row r="4" spans="2:15" x14ac:dyDescent="0.35">
      <c r="B4" s="5">
        <v>1.884137340588802</v>
      </c>
      <c r="C4">
        <v>1.8782283600177259</v>
      </c>
      <c r="D4">
        <v>1.7380570009120468</v>
      </c>
      <c r="E4">
        <v>1.759075493173097</v>
      </c>
      <c r="F4">
        <v>1.5113271072275718</v>
      </c>
      <c r="G4" s="6">
        <v>1.7812272543025003</v>
      </c>
      <c r="I4" t="s">
        <v>1</v>
      </c>
      <c r="J4" s="7">
        <f>SKEW(B2:G11)</f>
        <v>0.24129613299559807</v>
      </c>
      <c r="L4" t="s">
        <v>8</v>
      </c>
      <c r="M4" s="8">
        <v>4</v>
      </c>
    </row>
    <row r="5" spans="2:15" x14ac:dyDescent="0.35">
      <c r="B5" s="5">
        <v>2.5026057944216626</v>
      </c>
      <c r="C5">
        <v>1.4723616129263406</v>
      </c>
      <c r="D5">
        <v>2.878504637143573</v>
      </c>
      <c r="E5">
        <v>2.1746202175900087</v>
      </c>
      <c r="F5">
        <v>1.7840653608176134</v>
      </c>
      <c r="G5" s="6">
        <v>2.0953165962462066</v>
      </c>
      <c r="I5" t="s">
        <v>2</v>
      </c>
      <c r="J5" s="7">
        <f>MEDIAN(B2:G11)</f>
        <v>2.1391552750075147</v>
      </c>
    </row>
    <row r="6" spans="2:15" x14ac:dyDescent="0.35">
      <c r="B6" s="5">
        <v>2.4732522565234785</v>
      </c>
      <c r="C6">
        <v>2.2993762005461091</v>
      </c>
      <c r="D6">
        <v>1.3478798842709387</v>
      </c>
      <c r="E6">
        <v>2.1904928766703793</v>
      </c>
      <c r="F6">
        <v>2.4316587748557854</v>
      </c>
      <c r="G6" s="6">
        <v>2.7059803990797691</v>
      </c>
      <c r="I6" t="s">
        <v>3</v>
      </c>
      <c r="J6" s="7">
        <f>MIN(B2:G11)</f>
        <v>1.1637644822698319</v>
      </c>
      <c r="L6" t="s">
        <v>0</v>
      </c>
      <c r="M6" s="4">
        <f>(M2+M3+M4)/3</f>
        <v>2.6666666666666665</v>
      </c>
      <c r="O6" t="e" cm="1">
        <f t="array" aca="1" ref="O6" ca="1">FTEXT(M6)</f>
        <v>#NAME?</v>
      </c>
    </row>
    <row r="7" spans="2:15" x14ac:dyDescent="0.35">
      <c r="B7" s="5">
        <v>1.4459071266298893</v>
      </c>
      <c r="C7">
        <v>2.3343643407310184</v>
      </c>
      <c r="D7">
        <v>1.91496075021904</v>
      </c>
      <c r="E7">
        <v>1.9122545684378776</v>
      </c>
      <c r="F7">
        <v>2.0516702904147315</v>
      </c>
      <c r="G7" s="6">
        <v>2.541954207003581</v>
      </c>
      <c r="I7" t="s">
        <v>4</v>
      </c>
      <c r="J7" s="8">
        <f>MAX(B2:G11)</f>
        <v>3.3210551981268774</v>
      </c>
      <c r="L7" t="s">
        <v>5</v>
      </c>
      <c r="M7" s="7">
        <f>(M2^2+M3^2+M4^2-M2*M3-M3*M4-M2*M4)/18</f>
        <v>0.3888888888888889</v>
      </c>
      <c r="O7" t="e" cm="1">
        <f t="array" aca="1" ref="O7" ca="1">FTEXT(M7)</f>
        <v>#NAME?</v>
      </c>
    </row>
    <row r="8" spans="2:15" x14ac:dyDescent="0.35">
      <c r="B8" s="5">
        <v>1.3374408014733075</v>
      </c>
      <c r="C8">
        <v>2.2886133761085752</v>
      </c>
      <c r="D8">
        <v>1.9432939146199923</v>
      </c>
      <c r="E8">
        <v>2.2583466551623399</v>
      </c>
      <c r="F8">
        <v>3.3210551981268774</v>
      </c>
      <c r="G8" s="6">
        <v>3.2039279658447604</v>
      </c>
      <c r="L8" t="s">
        <v>1</v>
      </c>
      <c r="M8" s="8">
        <f>SQRT(2)*(M2-2*M3+M4)*(2*M2-M3-M4)*(M2+M3-2*M4)/(5*(18*M7)^(3/2))</f>
        <v>-0.30544141932848512</v>
      </c>
      <c r="O8" t="e" cm="1">
        <f t="array" aca="1" ref="O8" ca="1">FTEXT(M8)</f>
        <v>#NAME?</v>
      </c>
    </row>
    <row r="9" spans="2:15" x14ac:dyDescent="0.35">
      <c r="B9" s="5">
        <v>2.6425807060490367</v>
      </c>
      <c r="C9">
        <v>2.1138682905212978</v>
      </c>
      <c r="D9">
        <v>3.0041339822705635</v>
      </c>
      <c r="E9">
        <v>3.0117634648203619</v>
      </c>
      <c r="F9">
        <v>2.6274994475393765</v>
      </c>
      <c r="G9" s="6">
        <v>2.373045990994842</v>
      </c>
    </row>
    <row r="10" spans="2:15" x14ac:dyDescent="0.35">
      <c r="B10" s="5">
        <v>1.6423692147469635</v>
      </c>
      <c r="C10">
        <v>2.816947918921465</v>
      </c>
      <c r="D10">
        <v>1.1637644822698319</v>
      </c>
      <c r="E10">
        <v>2.7224771262073508</v>
      </c>
      <c r="F10">
        <v>2.4681910680243919</v>
      </c>
      <c r="G10" s="6">
        <v>1.8528044312435292</v>
      </c>
      <c r="L10" t="s">
        <v>10</v>
      </c>
      <c r="M10" s="12">
        <f>(J2-M6)^2+(J3-M7)^2+(J4-M8)^2</f>
        <v>0.55371775376260013</v>
      </c>
      <c r="O10" t="e" cm="1">
        <f t="array" aca="1" ref="O10" ca="1">FTEXT(M10)</f>
        <v>#NAME?</v>
      </c>
    </row>
    <row r="11" spans="2:15" x14ac:dyDescent="0.35">
      <c r="B11" s="9">
        <v>2.8602653136428211</v>
      </c>
      <c r="C11" s="10">
        <v>1.9268344254784757</v>
      </c>
      <c r="D11" s="10">
        <v>1.9283750126632031</v>
      </c>
      <c r="E11" s="10">
        <v>3.2812653636439091</v>
      </c>
      <c r="F11" s="10">
        <v>1.8909404365000471</v>
      </c>
      <c r="G11" s="11">
        <v>2.020762387718313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ACB5-2AF7-42D6-AF41-557CAB50E91F}">
  <sheetPr codeName="Sheet3"/>
  <dimension ref="B2:O24"/>
  <sheetViews>
    <sheetView workbookViewId="0"/>
  </sheetViews>
  <sheetFormatPr defaultRowHeight="14.5" x14ac:dyDescent="0.35"/>
  <cols>
    <col min="1" max="1" width="3.08984375" customWidth="1"/>
    <col min="7" max="7" width="8.7265625" customWidth="1"/>
    <col min="8" max="8" width="5.1796875" customWidth="1"/>
    <col min="11" max="11" width="4.6328125" customWidth="1"/>
    <col min="14" max="14" width="3.08984375" customWidth="1"/>
    <col min="15" max="15" width="66.54296875" customWidth="1"/>
  </cols>
  <sheetData>
    <row r="2" spans="2:15" x14ac:dyDescent="0.35">
      <c r="B2" s="1">
        <v>1.5117513954784509</v>
      </c>
      <c r="C2" s="2">
        <v>2.0251339953881917</v>
      </c>
      <c r="D2" s="2">
        <v>2.1603473567435234</v>
      </c>
      <c r="E2" s="2">
        <v>2.6221008890603565</v>
      </c>
      <c r="F2" s="2">
        <v>1.600866661347027</v>
      </c>
      <c r="G2" s="3">
        <v>1.5124305215526239</v>
      </c>
      <c r="I2" t="s">
        <v>0</v>
      </c>
      <c r="J2" s="4">
        <f>AVERAGE(B2:G11)</f>
        <v>2.1753728297585577</v>
      </c>
      <c r="L2" t="s">
        <v>6</v>
      </c>
      <c r="M2" s="4">
        <v>1.0174283655577858</v>
      </c>
    </row>
    <row r="3" spans="2:15" x14ac:dyDescent="0.35">
      <c r="B3" s="5">
        <v>2.531761673543897</v>
      </c>
      <c r="C3">
        <v>2.2307826511651374</v>
      </c>
      <c r="D3">
        <v>2.2177889834689917</v>
      </c>
      <c r="E3">
        <v>1.3729545018853702</v>
      </c>
      <c r="F3">
        <v>2.117963193271506</v>
      </c>
      <c r="G3" s="6">
        <v>2.8086425372670236</v>
      </c>
      <c r="I3" t="s">
        <v>5</v>
      </c>
      <c r="J3" s="7">
        <f>_xlfn.VAR.S(B2:G11)</f>
        <v>0.27301754447026622</v>
      </c>
      <c r="L3" t="s">
        <v>7</v>
      </c>
      <c r="M3" s="7">
        <v>1.95906073850449</v>
      </c>
    </row>
    <row r="4" spans="2:15" x14ac:dyDescent="0.35">
      <c r="B4" s="5">
        <v>1.884137340588802</v>
      </c>
      <c r="C4">
        <v>1.8782283600177259</v>
      </c>
      <c r="D4">
        <v>1.7380570009120468</v>
      </c>
      <c r="E4">
        <v>1.759075493173097</v>
      </c>
      <c r="F4">
        <v>1.5113271072275718</v>
      </c>
      <c r="G4" s="6">
        <v>1.7812272543025003</v>
      </c>
      <c r="I4" t="s">
        <v>1</v>
      </c>
      <c r="J4" s="7">
        <f>SKEW(B2:G11)</f>
        <v>0.24129613299559807</v>
      </c>
      <c r="L4" t="s">
        <v>8</v>
      </c>
      <c r="M4" s="8">
        <v>3.5496277883347198</v>
      </c>
    </row>
    <row r="5" spans="2:15" x14ac:dyDescent="0.35">
      <c r="B5" s="5">
        <v>2.5026057944216626</v>
      </c>
      <c r="C5">
        <v>1.4723616129263406</v>
      </c>
      <c r="D5">
        <v>2.878504637143573</v>
      </c>
      <c r="E5">
        <v>2.1746202175900087</v>
      </c>
      <c r="F5">
        <v>1.7840653608176134</v>
      </c>
      <c r="G5" s="6">
        <v>2.0953165962462066</v>
      </c>
      <c r="I5" t="s">
        <v>2</v>
      </c>
      <c r="J5" s="7">
        <f>MEDIAN(B2:G11)</f>
        <v>2.1391552750075147</v>
      </c>
    </row>
    <row r="6" spans="2:15" x14ac:dyDescent="0.35">
      <c r="B6" s="5">
        <v>2.4732522565234785</v>
      </c>
      <c r="C6">
        <v>2.2993762005461091</v>
      </c>
      <c r="D6">
        <v>1.3478798842709387</v>
      </c>
      <c r="E6">
        <v>2.1904928766703793</v>
      </c>
      <c r="F6">
        <v>2.4316587748557854</v>
      </c>
      <c r="G6" s="6">
        <v>2.7059803990797691</v>
      </c>
      <c r="I6" t="s">
        <v>3</v>
      </c>
      <c r="J6" s="7">
        <f>MIN(B2:G11)</f>
        <v>1.1637644822698319</v>
      </c>
      <c r="L6" t="s">
        <v>0</v>
      </c>
      <c r="M6" s="4">
        <f>(M2+M3+M4)/3</f>
        <v>2.1753722974656653</v>
      </c>
      <c r="O6" t="e" cm="1">
        <f t="array" aca="1" ref="O6" ca="1">FTEXT(M6)</f>
        <v>#NAME?</v>
      </c>
    </row>
    <row r="7" spans="2:15" x14ac:dyDescent="0.35">
      <c r="B7" s="5">
        <v>1.4459071266298893</v>
      </c>
      <c r="C7">
        <v>2.3343643407310184</v>
      </c>
      <c r="D7">
        <v>1.91496075021904</v>
      </c>
      <c r="E7">
        <v>1.9122545684378776</v>
      </c>
      <c r="F7">
        <v>2.0516702904147315</v>
      </c>
      <c r="G7" s="6">
        <v>2.541954207003581</v>
      </c>
      <c r="I7" t="s">
        <v>4</v>
      </c>
      <c r="J7" s="8">
        <f>MAX(B2:G11)</f>
        <v>3.3210551981268774</v>
      </c>
      <c r="L7" t="s">
        <v>5</v>
      </c>
      <c r="M7" s="7">
        <f>(M2^2+M3^2+M4^2-M2*M3-M3*M4-M2*M4)/18</f>
        <v>0.27301691618051993</v>
      </c>
      <c r="O7" t="e" cm="1">
        <f t="array" aca="1" ref="O7" ca="1">FTEXT(M7)</f>
        <v>#NAME?</v>
      </c>
    </row>
    <row r="8" spans="2:15" x14ac:dyDescent="0.35">
      <c r="B8" s="5">
        <v>1.3374408014733075</v>
      </c>
      <c r="C8">
        <v>2.2886133761085752</v>
      </c>
      <c r="D8">
        <v>1.9432939146199923</v>
      </c>
      <c r="E8">
        <v>2.2583466551623399</v>
      </c>
      <c r="F8">
        <v>3.3210551981268774</v>
      </c>
      <c r="G8" s="6">
        <v>3.2039279658447604</v>
      </c>
      <c r="L8" t="s">
        <v>1</v>
      </c>
      <c r="M8" s="8">
        <f>SQRT(2)*(M2-2*M3+M4)*(2*M2-M3-M4)*(M2+M3-2*M4)/(5*(18*M7)^(3/2))</f>
        <v>0.24129615639878654</v>
      </c>
      <c r="O8" t="e" cm="1">
        <f t="array" aca="1" ref="O8" ca="1">FTEXT(M8)</f>
        <v>#NAME?</v>
      </c>
    </row>
    <row r="9" spans="2:15" x14ac:dyDescent="0.35">
      <c r="B9" s="5">
        <v>2.6425807060490367</v>
      </c>
      <c r="C9">
        <v>2.1138682905212978</v>
      </c>
      <c r="D9">
        <v>3.0041339822705635</v>
      </c>
      <c r="E9">
        <v>3.0117634648203619</v>
      </c>
      <c r="F9">
        <v>2.6274994475393765</v>
      </c>
      <c r="G9" s="6">
        <v>2.373045990994842</v>
      </c>
    </row>
    <row r="10" spans="2:15" x14ac:dyDescent="0.35">
      <c r="B10" s="5">
        <v>1.6423692147469635</v>
      </c>
      <c r="C10">
        <v>2.816947918921465</v>
      </c>
      <c r="D10">
        <v>1.1637644822698319</v>
      </c>
      <c r="E10">
        <v>2.7224771262073508</v>
      </c>
      <c r="F10">
        <v>2.4681910680243919</v>
      </c>
      <c r="G10" s="6">
        <v>1.8528044312435292</v>
      </c>
      <c r="L10" t="s">
        <v>10</v>
      </c>
      <c r="M10" s="12">
        <f>(J2-M6)^2+(J3-M7)^2+(J4-M8)^2</f>
        <v>6.7863143784906651E-13</v>
      </c>
      <c r="O10" t="e" cm="1">
        <f t="array" aca="1" ref="O10" ca="1">FTEXT(M10)</f>
        <v>#NAME?</v>
      </c>
    </row>
    <row r="11" spans="2:15" x14ac:dyDescent="0.35">
      <c r="B11" s="9">
        <v>2.8602653136428211</v>
      </c>
      <c r="C11" s="10">
        <v>1.9268344254784757</v>
      </c>
      <c r="D11" s="10">
        <v>1.9283750126632031</v>
      </c>
      <c r="E11" s="10">
        <v>3.2812653636439091</v>
      </c>
      <c r="F11" s="10">
        <v>1.8909404365000471</v>
      </c>
      <c r="G11" s="11">
        <v>2.020762387718313</v>
      </c>
    </row>
    <row r="12" spans="2:15" x14ac:dyDescent="0.35">
      <c r="L12" t="s">
        <v>9</v>
      </c>
      <c r="M12" s="12" t="e" cm="1">
        <f t="array" aca="1" ref="M12" ca="1">TRIANG_MLE(B2:G11,M2,M3,M4)</f>
        <v>#NAME?</v>
      </c>
      <c r="O12" t="e" cm="1">
        <f t="array" aca="1" ref="O12" ca="1">FTEXT(M12)</f>
        <v>#NAME?</v>
      </c>
    </row>
    <row r="14" spans="2:15" x14ac:dyDescent="0.35">
      <c r="C14" t="e" cm="1">
        <f t="array" aca="1" ref="C14" ca="1">TRIANG_FITM(B2:G11,TRUE)</f>
        <v>#NAME?</v>
      </c>
      <c r="D14" s="4"/>
      <c r="F14" t="e" cm="1">
        <f t="array" aca="1" ref="F14" ca="1">TRIANG_FITM(B2:G11,TRUE,,,250)</f>
        <v>#NAME?</v>
      </c>
      <c r="G14" s="4"/>
    </row>
    <row r="15" spans="2:15" x14ac:dyDescent="0.35">
      <c r="D15" s="7"/>
      <c r="G15" s="7"/>
    </row>
    <row r="16" spans="2:15" x14ac:dyDescent="0.35">
      <c r="D16" s="7"/>
      <c r="G16" s="7"/>
    </row>
    <row r="17" spans="4:7" x14ac:dyDescent="0.35">
      <c r="D17" s="7"/>
      <c r="G17" s="7"/>
    </row>
    <row r="18" spans="4:7" x14ac:dyDescent="0.35">
      <c r="D18" s="7"/>
      <c r="G18" s="7"/>
    </row>
    <row r="19" spans="4:7" x14ac:dyDescent="0.35">
      <c r="D19" s="7"/>
      <c r="G19" s="7"/>
    </row>
    <row r="20" spans="4:7" x14ac:dyDescent="0.35">
      <c r="D20" s="7"/>
      <c r="G20" s="7"/>
    </row>
    <row r="21" spans="4:7" x14ac:dyDescent="0.35">
      <c r="D21" s="7"/>
      <c r="G21" s="7"/>
    </row>
    <row r="22" spans="4:7" x14ac:dyDescent="0.35">
      <c r="D22" s="7"/>
      <c r="G22" s="7"/>
    </row>
    <row r="23" spans="4:7" x14ac:dyDescent="0.35">
      <c r="D23" s="7"/>
      <c r="G23" s="7"/>
    </row>
    <row r="24" spans="4:7" x14ac:dyDescent="0.35">
      <c r="D24" s="8"/>
      <c r="G2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7D09-9AAB-48A7-8C23-9941BA34B599}">
  <sheetPr codeName="Sheet6"/>
  <dimension ref="B2:T12"/>
  <sheetViews>
    <sheetView workbookViewId="0"/>
  </sheetViews>
  <sheetFormatPr defaultRowHeight="14.5" x14ac:dyDescent="0.35"/>
  <cols>
    <col min="1" max="1" width="3.08984375" customWidth="1"/>
    <col min="8" max="8" width="4.81640625" customWidth="1"/>
    <col min="11" max="11" width="4.6328125" customWidth="1"/>
    <col min="12" max="13" width="0" hidden="1" customWidth="1"/>
    <col min="14" max="14" width="3.08984375" hidden="1" customWidth="1"/>
    <col min="15" max="15" width="36.08984375" hidden="1" customWidth="1"/>
    <col min="16" max="16" width="0" hidden="1" customWidth="1"/>
    <col min="19" max="19" width="3.08984375" customWidth="1"/>
    <col min="20" max="20" width="59.26953125" customWidth="1"/>
    <col min="21" max="21" width="8.7265625" customWidth="1"/>
  </cols>
  <sheetData>
    <row r="2" spans="2:20" x14ac:dyDescent="0.35">
      <c r="B2" s="1">
        <v>1.5117513954784509</v>
      </c>
      <c r="C2" s="2">
        <v>2.0251339953881917</v>
      </c>
      <c r="D2" s="2">
        <v>2.1603473567435234</v>
      </c>
      <c r="E2" s="2">
        <v>2.6221008890603565</v>
      </c>
      <c r="F2" s="2">
        <v>1.600866661347027</v>
      </c>
      <c r="G2" s="3">
        <v>1.5124305215526239</v>
      </c>
      <c r="I2" t="s">
        <v>0</v>
      </c>
      <c r="J2" s="4">
        <f>AVERAGE(B2:G11)</f>
        <v>2.1753728297585577</v>
      </c>
      <c r="L2" t="s">
        <v>6</v>
      </c>
      <c r="M2" s="4">
        <v>1.0174283655577858</v>
      </c>
      <c r="Q2" t="s">
        <v>6</v>
      </c>
      <c r="R2" s="4">
        <v>1.0174283655577858</v>
      </c>
    </row>
    <row r="3" spans="2:20" x14ac:dyDescent="0.35">
      <c r="B3" s="5">
        <v>2.531761673543897</v>
      </c>
      <c r="C3">
        <v>2.2307826511651374</v>
      </c>
      <c r="D3">
        <v>2.2177889834689917</v>
      </c>
      <c r="E3">
        <v>1.3729545018853702</v>
      </c>
      <c r="F3">
        <v>2.117963193271506</v>
      </c>
      <c r="G3" s="6">
        <v>2.8086425372670236</v>
      </c>
      <c r="I3" t="s">
        <v>5</v>
      </c>
      <c r="J3" s="7">
        <f>_xlfn.VAR.S(B2:G11)</f>
        <v>0.27301754447026622</v>
      </c>
      <c r="L3" t="s">
        <v>7</v>
      </c>
      <c r="M3" s="7">
        <f>3*J2-M2-M4</f>
        <v>1.959059748155938</v>
      </c>
      <c r="O3" t="e" cm="1">
        <f t="array" aca="1" ref="O3" ca="1">FTEXT(M3)</f>
        <v>#NAME?</v>
      </c>
      <c r="Q3" t="s">
        <v>7</v>
      </c>
      <c r="R3" s="7">
        <f>3*J2-R2-R4</f>
        <v>1.9590623353831691</v>
      </c>
      <c r="T3" t="e" cm="1">
        <f t="array" aca="1" ref="T3" ca="1">FTEXT(R3)</f>
        <v>#NAME?</v>
      </c>
    </row>
    <row r="4" spans="2:20" x14ac:dyDescent="0.35">
      <c r="B4" s="5">
        <v>1.884137340588802</v>
      </c>
      <c r="C4">
        <v>1.8782283600177259</v>
      </c>
      <c r="D4">
        <v>1.7380570009120468</v>
      </c>
      <c r="E4">
        <v>1.759075493173097</v>
      </c>
      <c r="F4">
        <v>1.5113271072275718</v>
      </c>
      <c r="G4" s="6">
        <v>1.7812272543025003</v>
      </c>
      <c r="I4" t="s">
        <v>1</v>
      </c>
      <c r="J4" s="7">
        <f>SKEW(B2:G11)</f>
        <v>0.24129613299559807</v>
      </c>
      <c r="L4" t="s">
        <v>8</v>
      </c>
      <c r="M4" s="8">
        <f>(3*J2-M2+SQRT(3*(8*J3-(J2-M2)^2)))/2</f>
        <v>3.5496303755619492</v>
      </c>
      <c r="O4" t="e" cm="1">
        <f t="array" aca="1" ref="O4" ca="1">FTEXT(M4)</f>
        <v>#NAME?</v>
      </c>
      <c r="Q4" t="s">
        <v>8</v>
      </c>
      <c r="R4" s="8">
        <v>3.549627788334718</v>
      </c>
    </row>
    <row r="5" spans="2:20" x14ac:dyDescent="0.35">
      <c r="B5" s="5">
        <v>2.5026057944216626</v>
      </c>
      <c r="C5">
        <v>1.4723616129263406</v>
      </c>
      <c r="D5">
        <v>2.878504637143573</v>
      </c>
      <c r="E5">
        <v>2.1746202175900087</v>
      </c>
      <c r="F5">
        <v>1.7840653608176134</v>
      </c>
      <c r="G5" s="6">
        <v>2.0953165962462066</v>
      </c>
      <c r="I5" t="s">
        <v>2</v>
      </c>
      <c r="J5" s="7">
        <f>MEDIAN(B2:G11)</f>
        <v>2.1391552750075147</v>
      </c>
    </row>
    <row r="6" spans="2:20" x14ac:dyDescent="0.35">
      <c r="B6" s="5">
        <v>2.4732522565234785</v>
      </c>
      <c r="C6">
        <v>2.2993762005461091</v>
      </c>
      <c r="D6">
        <v>1.3478798842709387</v>
      </c>
      <c r="E6">
        <v>2.1904928766703793</v>
      </c>
      <c r="F6">
        <v>2.4316587748557854</v>
      </c>
      <c r="G6" s="6">
        <v>2.7059803990797691</v>
      </c>
      <c r="I6" t="s">
        <v>3</v>
      </c>
      <c r="J6" s="7">
        <f>MIN(B2:G11)</f>
        <v>1.1637644822698319</v>
      </c>
      <c r="L6" t="s">
        <v>9</v>
      </c>
      <c r="M6" s="12" t="e" cm="1">
        <f t="array" aca="1" ref="M6" ca="1">TRIANG_MLE(B2:G11,M2,M3,M4)</f>
        <v>#NAME?</v>
      </c>
      <c r="O6" t="e" cm="1">
        <f t="array" aca="1" ref="O6" ca="1">FTEXT(M6)</f>
        <v>#NAME?</v>
      </c>
      <c r="Q6" t="s">
        <v>9</v>
      </c>
      <c r="R6" s="12" t="e" cm="1">
        <f t="array" aca="1" ref="R6" ca="1">TRIANG_MLE(B2:G11,R2,R3,R4)</f>
        <v>#NAME?</v>
      </c>
      <c r="T6" t="e" cm="1">
        <f t="array" aca="1" ref="T6" ca="1">FTEXT(R6)</f>
        <v>#NAME?</v>
      </c>
    </row>
    <row r="7" spans="2:20" x14ac:dyDescent="0.35">
      <c r="B7" s="5">
        <v>1.4459071266298893</v>
      </c>
      <c r="C7">
        <v>2.3343643407310184</v>
      </c>
      <c r="D7">
        <v>1.91496075021904</v>
      </c>
      <c r="E7">
        <v>1.9122545684378776</v>
      </c>
      <c r="F7">
        <v>2.0516702904147315</v>
      </c>
      <c r="G7" s="6">
        <v>2.541954207003581</v>
      </c>
      <c r="I7" t="s">
        <v>4</v>
      </c>
      <c r="J7" s="8">
        <f>MAX(B2:G11)</f>
        <v>3.3210551981268774</v>
      </c>
    </row>
    <row r="8" spans="2:20" x14ac:dyDescent="0.35">
      <c r="B8" s="5">
        <v>1.3374408014733075</v>
      </c>
      <c r="C8">
        <v>2.2886133761085752</v>
      </c>
      <c r="D8">
        <v>1.9432939146199923</v>
      </c>
      <c r="E8">
        <v>2.2583466551623399</v>
      </c>
      <c r="F8">
        <v>3.3210551981268774</v>
      </c>
      <c r="G8" s="6">
        <v>3.2039279658447604</v>
      </c>
      <c r="L8" t="s">
        <v>6</v>
      </c>
      <c r="M8" s="4">
        <f>(3*J2-M10-SQRT(3*(8*J3-(J2-M10)^2)))/2</f>
        <v>1.0174239953439055</v>
      </c>
      <c r="O8" t="e" cm="1">
        <f t="array" aca="1" ref="O8" ca="1">FTEXT(M8)</f>
        <v>#NAME?</v>
      </c>
      <c r="Q8" t="s">
        <v>6</v>
      </c>
      <c r="R8" s="4">
        <v>1.0174283655577858</v>
      </c>
    </row>
    <row r="9" spans="2:20" x14ac:dyDescent="0.35">
      <c r="B9" s="5">
        <v>2.6425807060490367</v>
      </c>
      <c r="C9">
        <v>2.1138682905212978</v>
      </c>
      <c r="D9">
        <v>3.0041339822705635</v>
      </c>
      <c r="E9">
        <v>3.0117634648203619</v>
      </c>
      <c r="F9">
        <v>2.6274994475393765</v>
      </c>
      <c r="G9" s="6">
        <v>2.373045990994842</v>
      </c>
      <c r="L9" t="s">
        <v>7</v>
      </c>
      <c r="M9" s="7">
        <f>3*J2-M8-M10</f>
        <v>1.959066705597047</v>
      </c>
      <c r="O9" t="e" cm="1">
        <f t="array" aca="1" ref="O9" ca="1">FTEXT(M9)</f>
        <v>#NAME?</v>
      </c>
      <c r="Q9" t="s">
        <v>7</v>
      </c>
      <c r="R9" s="7">
        <f>IF(2*J5&lt;R8+R10,R10-2*(R10-J5)^2/(R10-R8),R8+2*(J5-R8)^2/(R10-R8))</f>
        <v>1.9783197049691117</v>
      </c>
      <c r="T9" t="e" cm="1">
        <f t="array" aca="1" ref="T9" ca="1">FTEXT(R9)</f>
        <v>#NAME?</v>
      </c>
    </row>
    <row r="10" spans="2:20" x14ac:dyDescent="0.35">
      <c r="B10" s="5">
        <v>1.6423692147469635</v>
      </c>
      <c r="C10">
        <v>2.816947918921465</v>
      </c>
      <c r="D10">
        <v>1.1637644822698319</v>
      </c>
      <c r="E10">
        <v>2.7224771262073508</v>
      </c>
      <c r="F10">
        <v>2.4681910680243919</v>
      </c>
      <c r="G10" s="6">
        <v>1.8528044312435292</v>
      </c>
      <c r="L10" t="s">
        <v>8</v>
      </c>
      <c r="M10" s="8">
        <v>3.5496277883347198</v>
      </c>
      <c r="Q10" t="s">
        <v>8</v>
      </c>
      <c r="R10" s="8">
        <v>3.549627788334718</v>
      </c>
    </row>
    <row r="11" spans="2:20" x14ac:dyDescent="0.35">
      <c r="B11" s="9">
        <v>2.8602653136428211</v>
      </c>
      <c r="C11" s="10">
        <v>1.9268344254784757</v>
      </c>
      <c r="D11" s="10">
        <v>1.9283750126632031</v>
      </c>
      <c r="E11" s="10">
        <v>3.2812653636439091</v>
      </c>
      <c r="F11" s="10">
        <v>1.8909404365000471</v>
      </c>
      <c r="G11" s="11">
        <v>2.020762387718313</v>
      </c>
    </row>
    <row r="12" spans="2:20" x14ac:dyDescent="0.35">
      <c r="L12" t="s">
        <v>9</v>
      </c>
      <c r="M12" s="12" t="e" cm="1">
        <f t="array" aca="1" ref="M12" ca="1">TRIANG_MLE(B2:G11,M8,M9,M10)</f>
        <v>#NAME?</v>
      </c>
      <c r="O12" t="e" cm="1">
        <f t="array" aca="1" ref="O12" ca="1">FTEXT(M12)</f>
        <v>#NAME?</v>
      </c>
      <c r="Q12" t="s">
        <v>9</v>
      </c>
      <c r="R12" s="12" t="e" cm="1">
        <f t="array" aca="1" ref="R12" ca="1">TRIANG_MLE(B2:G11,R8,R9,R10)</f>
        <v>#NAME?</v>
      </c>
      <c r="T12" t="e" cm="1">
        <f t="array" aca="1" ref="T12" ca="1">FTEXT(R12)</f>
        <v>#NAME?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D15B-9F1E-41F6-A32B-C43A014791F6}">
  <sheetPr codeName="Sheet7"/>
  <dimension ref="B2:AE16"/>
  <sheetViews>
    <sheetView workbookViewId="0"/>
  </sheetViews>
  <sheetFormatPr defaultRowHeight="14.5" x14ac:dyDescent="0.35"/>
  <cols>
    <col min="1" max="1" width="3.08984375" customWidth="1"/>
    <col min="11" max="11" width="4.6328125" customWidth="1"/>
    <col min="14" max="14" width="4.6328125" customWidth="1"/>
    <col min="17" max="17" width="4.6328125" customWidth="1"/>
    <col min="20" max="20" width="4.6328125" customWidth="1"/>
    <col min="23" max="23" width="4.6328125" customWidth="1"/>
    <col min="26" max="26" width="4.6328125" customWidth="1"/>
    <col min="29" max="29" width="4.6328125" customWidth="1"/>
  </cols>
  <sheetData>
    <row r="2" spans="2:31" x14ac:dyDescent="0.35">
      <c r="B2" s="1">
        <v>1.5117513954784509</v>
      </c>
      <c r="C2" s="2">
        <v>2.0251339953881917</v>
      </c>
      <c r="D2" s="2">
        <v>2.1603473567435234</v>
      </c>
      <c r="E2" s="2">
        <v>2.6221008890603565</v>
      </c>
      <c r="F2" s="2">
        <v>1.600866661347027</v>
      </c>
      <c r="G2" s="3">
        <v>1.5124305215526239</v>
      </c>
      <c r="I2" t="s">
        <v>0</v>
      </c>
      <c r="J2" s="4">
        <f>AVERAGE(B2:G11)</f>
        <v>2.1753728297585577</v>
      </c>
      <c r="L2" t="e" cm="1">
        <f t="array" aca="1" ref="L2" ca="1">TRIANG_FITM(B2:G11,TRUE,J9)</f>
        <v>#NAME?</v>
      </c>
      <c r="M2" s="4"/>
      <c r="O2" t="e" cm="1">
        <f t="array" aca="1" ref="O2" ca="1">TRIANG_FITM(B2:G11,TRUE,J9,,0)</f>
        <v>#NAME?</v>
      </c>
      <c r="P2" s="4"/>
      <c r="R2" t="e" cm="1">
        <f t="array" aca="1" ref="R2" ca="1">TRIANG_FITM(B2:G11,TRUE,,J10)</f>
        <v>#NAME?</v>
      </c>
      <c r="S2" s="4"/>
      <c r="U2" t="e" cm="1">
        <f t="array" aca="1" ref="U2" ca="1">TRIANG_FITM(B2:G11,TRUE,,J10,0)</f>
        <v>#NAME?</v>
      </c>
      <c r="V2" s="4"/>
      <c r="X2" t="e" cm="1">
        <f t="array" aca="1" ref="X2" ca="1">TRIANG_FITM(B2:G11,TRUE,J9,J10)</f>
        <v>#NAME?</v>
      </c>
      <c r="Y2" s="4"/>
      <c r="AA2" t="e" cm="1">
        <f t="array" aca="1" ref="AA2" ca="1">TRIANG_FITM(B2:G11,TRUE,J9,J10,0)</f>
        <v>#NAME?</v>
      </c>
      <c r="AB2" s="4"/>
      <c r="AD2" t="e" cm="1">
        <f t="array" aca="1" ref="AD2" ca="1">TRIANG_FITM(B2:G11,TRUE,J9,J10,-1)</f>
        <v>#NAME?</v>
      </c>
      <c r="AE2" s="4"/>
    </row>
    <row r="3" spans="2:31" x14ac:dyDescent="0.35">
      <c r="B3" s="5">
        <v>2.531761673543897</v>
      </c>
      <c r="C3">
        <v>2.2307826511651374</v>
      </c>
      <c r="D3">
        <v>2.2177889834689917</v>
      </c>
      <c r="E3">
        <v>1.3729545018853702</v>
      </c>
      <c r="F3">
        <v>2.117963193271506</v>
      </c>
      <c r="G3" s="6">
        <v>2.8086425372670236</v>
      </c>
      <c r="I3" t="s">
        <v>5</v>
      </c>
      <c r="J3" s="7">
        <f>_xlfn.VAR.S(B2:G11)</f>
        <v>0.27301754447026622</v>
      </c>
      <c r="M3" s="7"/>
      <c r="P3" s="7"/>
      <c r="S3" s="7"/>
      <c r="V3" s="7"/>
      <c r="Y3" s="7"/>
      <c r="AB3" s="7"/>
      <c r="AE3" s="7"/>
    </row>
    <row r="4" spans="2:31" x14ac:dyDescent="0.35">
      <c r="B4" s="5">
        <v>1.884137340588802</v>
      </c>
      <c r="C4">
        <v>1.8782283600177259</v>
      </c>
      <c r="D4">
        <v>1.7380570009120468</v>
      </c>
      <c r="E4">
        <v>1.759075493173097</v>
      </c>
      <c r="F4">
        <v>1.5113271072275718</v>
      </c>
      <c r="G4" s="6">
        <v>1.7812272543025003</v>
      </c>
      <c r="I4" t="s">
        <v>1</v>
      </c>
      <c r="J4" s="7">
        <f>SKEW(B2:G11)</f>
        <v>0.24129613299559807</v>
      </c>
      <c r="M4" s="7"/>
      <c r="P4" s="7"/>
      <c r="S4" s="7"/>
      <c r="V4" s="7"/>
      <c r="Y4" s="7"/>
      <c r="AB4" s="7"/>
      <c r="AE4" s="7"/>
    </row>
    <row r="5" spans="2:31" x14ac:dyDescent="0.35">
      <c r="B5" s="5">
        <v>2.5026057944216626</v>
      </c>
      <c r="C5">
        <v>1.4723616129263406</v>
      </c>
      <c r="D5">
        <v>2.878504637143573</v>
      </c>
      <c r="E5">
        <v>2.1746202175900087</v>
      </c>
      <c r="F5">
        <v>1.7840653608176134</v>
      </c>
      <c r="G5" s="6">
        <v>2.0953165962462066</v>
      </c>
      <c r="I5" t="s">
        <v>2</v>
      </c>
      <c r="J5" s="7">
        <f>MEDIAN(B2:G11)</f>
        <v>2.1391552750075147</v>
      </c>
      <c r="M5" s="7"/>
      <c r="P5" s="7"/>
      <c r="S5" s="7"/>
      <c r="V5" s="7"/>
      <c r="Y5" s="7"/>
      <c r="AB5" s="7"/>
      <c r="AE5" s="7"/>
    </row>
    <row r="6" spans="2:31" x14ac:dyDescent="0.35">
      <c r="B6" s="5">
        <v>2.4732522565234785</v>
      </c>
      <c r="C6">
        <v>2.2993762005461091</v>
      </c>
      <c r="D6">
        <v>1.3478798842709387</v>
      </c>
      <c r="E6">
        <v>2.1904928766703793</v>
      </c>
      <c r="F6">
        <v>2.4316587748557854</v>
      </c>
      <c r="G6" s="6">
        <v>2.7059803990797691</v>
      </c>
      <c r="I6" t="s">
        <v>3</v>
      </c>
      <c r="J6" s="7">
        <f>MIN(B2:G11)</f>
        <v>1.1637644822698319</v>
      </c>
      <c r="M6" s="7"/>
      <c r="P6" s="7"/>
      <c r="S6" s="7"/>
      <c r="V6" s="7"/>
      <c r="Y6" s="7"/>
      <c r="AB6" s="7"/>
      <c r="AE6" s="7"/>
    </row>
    <row r="7" spans="2:31" x14ac:dyDescent="0.35">
      <c r="B7" s="5">
        <v>1.4459071266298893</v>
      </c>
      <c r="C7">
        <v>2.3343643407310184</v>
      </c>
      <c r="D7">
        <v>1.91496075021904</v>
      </c>
      <c r="E7">
        <v>1.9122545684378776</v>
      </c>
      <c r="F7">
        <v>2.0516702904147315</v>
      </c>
      <c r="G7" s="6">
        <v>2.541954207003581</v>
      </c>
      <c r="I7" t="s">
        <v>4</v>
      </c>
      <c r="J7" s="8">
        <f>MAX(B2:G11)</f>
        <v>3.3210551981268774</v>
      </c>
      <c r="M7" s="7"/>
      <c r="P7" s="7"/>
      <c r="S7" s="7"/>
      <c r="V7" s="7"/>
      <c r="Y7" s="7"/>
      <c r="AB7" s="7"/>
      <c r="AE7" s="7"/>
    </row>
    <row r="8" spans="2:31" x14ac:dyDescent="0.35">
      <c r="B8" s="5">
        <v>1.3374408014733075</v>
      </c>
      <c r="C8">
        <v>2.2886133761085752</v>
      </c>
      <c r="D8">
        <v>1.9432939146199923</v>
      </c>
      <c r="E8">
        <v>2.2583466551623399</v>
      </c>
      <c r="F8">
        <v>3.3210551981268774</v>
      </c>
      <c r="G8" s="6">
        <v>3.2039279658447604</v>
      </c>
      <c r="M8" s="7"/>
      <c r="P8" s="7"/>
      <c r="S8" s="7"/>
      <c r="V8" s="7"/>
      <c r="Y8" s="7"/>
      <c r="AB8" s="7"/>
      <c r="AE8" s="7"/>
    </row>
    <row r="9" spans="2:31" x14ac:dyDescent="0.35">
      <c r="B9" s="5">
        <v>2.6425807060490367</v>
      </c>
      <c r="C9">
        <v>2.1138682905212978</v>
      </c>
      <c r="D9">
        <v>3.0041339822705635</v>
      </c>
      <c r="E9">
        <v>3.0117634648203619</v>
      </c>
      <c r="F9">
        <v>2.6274994475393765</v>
      </c>
      <c r="G9" s="6">
        <v>2.373045990994842</v>
      </c>
      <c r="I9" t="s">
        <v>6</v>
      </c>
      <c r="J9" s="4">
        <v>1.01742836555779</v>
      </c>
      <c r="M9" s="7"/>
      <c r="P9" s="7"/>
      <c r="S9" s="7"/>
      <c r="V9" s="7"/>
      <c r="Y9" s="7"/>
      <c r="AB9" s="7"/>
      <c r="AE9" s="7"/>
    </row>
    <row r="10" spans="2:31" x14ac:dyDescent="0.35">
      <c r="B10" s="5">
        <v>1.6423692147469635</v>
      </c>
      <c r="C10">
        <v>2.816947918921465</v>
      </c>
      <c r="D10">
        <v>1.1637644822698319</v>
      </c>
      <c r="E10">
        <v>2.7224771262073508</v>
      </c>
      <c r="F10">
        <v>2.4681910680243919</v>
      </c>
      <c r="G10" s="6">
        <v>1.8528044312435292</v>
      </c>
      <c r="I10" t="s">
        <v>7</v>
      </c>
      <c r="J10" s="8">
        <v>3.5496277883347198</v>
      </c>
      <c r="M10" s="7"/>
      <c r="P10" s="7"/>
      <c r="S10" s="7"/>
      <c r="V10" s="7"/>
      <c r="Y10" s="7"/>
      <c r="AB10" s="7"/>
      <c r="AE10" s="7"/>
    </row>
    <row r="11" spans="2:31" x14ac:dyDescent="0.35">
      <c r="B11" s="9">
        <v>2.8602653136428211</v>
      </c>
      <c r="C11" s="10">
        <v>1.9268344254784757</v>
      </c>
      <c r="D11" s="10">
        <v>1.9283750126632031</v>
      </c>
      <c r="E11" s="10">
        <v>3.2812653636439091</v>
      </c>
      <c r="F11" s="10">
        <v>1.8909404365000471</v>
      </c>
      <c r="G11" s="11">
        <v>2.020762387718313</v>
      </c>
      <c r="M11" s="7"/>
      <c r="P11" s="7"/>
      <c r="S11" s="7"/>
      <c r="V11" s="7"/>
      <c r="Y11" s="7"/>
      <c r="AB11" s="7"/>
      <c r="AE11" s="7"/>
    </row>
    <row r="12" spans="2:31" x14ac:dyDescent="0.35">
      <c r="M12" s="8"/>
      <c r="P12" s="8"/>
      <c r="S12" s="8"/>
      <c r="V12" s="8"/>
      <c r="Y12" s="8"/>
      <c r="AB12" s="8"/>
      <c r="AE12" s="8"/>
    </row>
    <row r="14" spans="2:31" x14ac:dyDescent="0.35">
      <c r="L14" t="e" cm="1">
        <f t="array" aca="1" ref="L14" ca="1">FTEXT(L2)</f>
        <v>#NAME?</v>
      </c>
      <c r="R14" t="e" cm="1">
        <f t="array" aca="1" ref="R14" ca="1">FTEXT(R2)</f>
        <v>#NAME?</v>
      </c>
      <c r="X14" t="e" cm="1">
        <f t="array" aca="1" ref="X14" ca="1">FTEXT(X2)</f>
        <v>#NAME?</v>
      </c>
    </row>
    <row r="15" spans="2:31" x14ac:dyDescent="0.35">
      <c r="L15" t="e" cm="1">
        <f t="array" aca="1" ref="L15" ca="1">FTEXT(O2)</f>
        <v>#NAME?</v>
      </c>
      <c r="R15" t="e" cm="1">
        <f t="array" aca="1" ref="R15" ca="1">FTEXT(U2)</f>
        <v>#NAME?</v>
      </c>
      <c r="X15" t="e" cm="1">
        <f t="array" aca="1" ref="X15" ca="1">FTEXT(AA2)</f>
        <v>#NAME?</v>
      </c>
    </row>
    <row r="16" spans="2:31" x14ac:dyDescent="0.35">
      <c r="X16" t="e" cm="1">
        <f t="array" aca="1" ref="X16" ca="1">FTEXT(AD2)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MLE</vt:lpstr>
      <vt:lpstr>MoM 1</vt:lpstr>
      <vt:lpstr>MoM 2</vt:lpstr>
      <vt:lpstr>MoM 3</vt:lpstr>
      <vt:lpstr>MoM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2023-07-13T07:15:59Z</dcterms:created>
  <dcterms:modified xsi:type="dcterms:W3CDTF">2023-07-29T11:41:39Z</dcterms:modified>
</cp:coreProperties>
</file>