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A7AD3BD-8EC3-4869-84EB-34C1428E631C}" xr6:coauthVersionLast="47" xr6:coauthVersionMax="47" xr10:uidLastSave="{00000000-0000-0000-0000-000000000000}"/>
  <bookViews>
    <workbookView xWindow="-110" yWindow="-110" windowWidth="19420" windowHeight="10300" xr2:uid="{1107DEC1-D949-44FE-A51D-6AFA2018EAC9}"/>
  </bookViews>
  <sheets>
    <sheet name="Title" sheetId="3" r:id="rId1"/>
    <sheet name="Summary" sheetId="2" r:id="rId2"/>
    <sheet name="Raw" sheetId="1" r:id="rId3"/>
    <sheet name="LogitMatche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 a="1"/>
  <c r="H9" i="4" s="1"/>
  <c r="J66" i="1"/>
  <c r="G66" i="1"/>
  <c r="E66" i="1"/>
  <c r="J64" i="1"/>
  <c r="G64" i="1"/>
  <c r="E64" i="1"/>
  <c r="E64" i="1" a="1"/>
  <c r="I67" i="1" s="1"/>
  <c r="J57" i="1"/>
  <c r="J55" i="1"/>
  <c r="I54" i="1" a="1"/>
  <c r="J60" i="1" s="1"/>
  <c r="P50" i="1"/>
  <c r="P49" i="1"/>
  <c r="P44" i="1"/>
  <c r="I44" i="1" a="1"/>
  <c r="K48" i="1" s="1"/>
  <c r="P43" i="1"/>
  <c r="E43" i="1" a="1"/>
  <c r="F47" i="1" s="1"/>
  <c r="P38" i="1"/>
  <c r="P37" i="1"/>
  <c r="H39" i="1"/>
  <c r="E38" i="1"/>
  <c r="H37" i="1"/>
  <c r="E36" i="1"/>
  <c r="E36" i="1" a="1"/>
  <c r="I39" i="1" s="1"/>
  <c r="G16" i="1"/>
  <c r="G15" i="1" a="1"/>
  <c r="G15" i="1" s="1"/>
  <c r="AH7" i="1" a="1"/>
  <c r="AJ10" i="1" s="1"/>
  <c r="R7" i="1"/>
  <c r="R7" i="1" a="1"/>
  <c r="R8" i="1" s="1"/>
  <c r="G6" i="1"/>
  <c r="E6" i="1" a="1"/>
  <c r="G11" i="1" s="1"/>
  <c r="K26" i="2"/>
  <c r="K25" i="2"/>
  <c r="K20" i="2"/>
  <c r="K19" i="2"/>
  <c r="G20" i="2"/>
  <c r="G18" i="2" a="1"/>
  <c r="G19" i="2" s="1"/>
  <c r="P19" i="2"/>
  <c r="O19" i="2"/>
  <c r="P18" i="2"/>
  <c r="O17" i="2"/>
  <c r="P14" i="2"/>
  <c r="P13" i="2"/>
  <c r="O13" i="2"/>
  <c r="O13" i="2" a="1"/>
  <c r="O18" i="2" s="1"/>
  <c r="G12" i="2" a="1"/>
  <c r="L14" i="2" s="1"/>
  <c r="R8" i="2"/>
  <c r="W7" i="2"/>
  <c r="U7" i="2"/>
  <c r="T7" i="2"/>
  <c r="R7" i="2"/>
  <c r="R6" i="2"/>
  <c r="W5" i="2"/>
  <c r="U5" i="2"/>
  <c r="T5" i="2"/>
  <c r="R5" i="2"/>
  <c r="R5" i="2" a="1"/>
  <c r="V8" i="2" s="1"/>
  <c r="P7" i="2"/>
  <c r="O6" i="2"/>
  <c r="O5" i="2" a="1"/>
  <c r="P8" i="2" s="1"/>
  <c r="G7" i="2"/>
  <c r="J6" i="2"/>
  <c r="G6" i="2"/>
  <c r="G5" i="2"/>
  <c r="F5" i="2" a="1"/>
  <c r="F8" i="2" s="1"/>
  <c r="D16" i="2"/>
  <c r="C16" i="2"/>
  <c r="U21" i="1"/>
  <c r="AW13" i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R9" i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8" i="1"/>
  <c r="AW7" i="1"/>
  <c r="AW8" i="1" s="1"/>
  <c r="AW9" i="1" s="1"/>
  <c r="AW10" i="1" s="1"/>
  <c r="AW11" i="1" s="1"/>
  <c r="AW12" i="1" s="1"/>
  <c r="AR7" i="1"/>
  <c r="F5" i="1"/>
  <c r="E16" i="1" s="1" a="1"/>
  <c r="E5" i="1"/>
  <c r="J46" i="1" l="1"/>
  <c r="I49" i="1"/>
  <c r="P6" i="2"/>
  <c r="J37" i="1"/>
  <c r="J39" i="1"/>
  <c r="I44" i="1"/>
  <c r="L46" i="1"/>
  <c r="J49" i="1"/>
  <c r="K56" i="1"/>
  <c r="H64" i="1"/>
  <c r="H66" i="1"/>
  <c r="J7" i="2"/>
  <c r="O8" i="2"/>
  <c r="T6" i="2"/>
  <c r="T8" i="2"/>
  <c r="O15" i="2"/>
  <c r="G36" i="1"/>
  <c r="G38" i="1"/>
  <c r="L44" i="1"/>
  <c r="J47" i="1"/>
  <c r="K58" i="1"/>
  <c r="E65" i="1"/>
  <c r="E67" i="1"/>
  <c r="G8" i="2"/>
  <c r="O9" i="2"/>
  <c r="U6" i="2"/>
  <c r="U8" i="2"/>
  <c r="P15" i="2"/>
  <c r="H36" i="1"/>
  <c r="H38" i="1"/>
  <c r="I45" i="1"/>
  <c r="K47" i="1"/>
  <c r="J59" i="1"/>
  <c r="G65" i="1"/>
  <c r="G67" i="1"/>
  <c r="J8" i="2"/>
  <c r="W6" i="2"/>
  <c r="W8" i="2"/>
  <c r="O16" i="2"/>
  <c r="R9" i="1"/>
  <c r="J36" i="1"/>
  <c r="J38" i="1"/>
  <c r="E44" i="1"/>
  <c r="J45" i="1"/>
  <c r="I48" i="1"/>
  <c r="K60" i="1"/>
  <c r="H65" i="1"/>
  <c r="H67" i="1"/>
  <c r="K49" i="1"/>
  <c r="E37" i="1"/>
  <c r="E39" i="1"/>
  <c r="F45" i="1"/>
  <c r="K45" i="1"/>
  <c r="J48" i="1"/>
  <c r="J65" i="1"/>
  <c r="J67" i="1"/>
  <c r="J44" i="1"/>
  <c r="I47" i="1"/>
  <c r="J5" i="2"/>
  <c r="O5" i="2"/>
  <c r="P17" i="2"/>
  <c r="G37" i="1"/>
  <c r="G39" i="1"/>
  <c r="I46" i="1"/>
  <c r="L48" i="1"/>
  <c r="K54" i="1"/>
  <c r="K12" i="2"/>
  <c r="H7" i="1"/>
  <c r="H9" i="1"/>
  <c r="H11" i="1"/>
  <c r="AI8" i="1"/>
  <c r="AH11" i="1"/>
  <c r="G6" i="4"/>
  <c r="H5" i="2"/>
  <c r="H6" i="2"/>
  <c r="H7" i="2"/>
  <c r="H8" i="2"/>
  <c r="P5" i="2"/>
  <c r="P9" i="2"/>
  <c r="X5" i="2"/>
  <c r="X6" i="2"/>
  <c r="X7" i="2"/>
  <c r="X8" i="2"/>
  <c r="L12" i="2"/>
  <c r="M13" i="2"/>
  <c r="P16" i="2"/>
  <c r="G18" i="2"/>
  <c r="E6" i="1"/>
  <c r="U9" i="1" s="1"/>
  <c r="E8" i="1"/>
  <c r="E10" i="1"/>
  <c r="AJ8" i="1"/>
  <c r="AI11" i="1"/>
  <c r="G17" i="1"/>
  <c r="K36" i="1"/>
  <c r="K37" i="1"/>
  <c r="K38" i="1"/>
  <c r="K39" i="1"/>
  <c r="F44" i="1"/>
  <c r="L45" i="1"/>
  <c r="L47" i="1"/>
  <c r="L49" i="1"/>
  <c r="L54" i="1"/>
  <c r="L56" i="1"/>
  <c r="L58" i="1"/>
  <c r="L60" i="1"/>
  <c r="K64" i="1"/>
  <c r="K65" i="1"/>
  <c r="K66" i="1"/>
  <c r="K67" i="1"/>
  <c r="H6" i="4"/>
  <c r="L13" i="2"/>
  <c r="M14" i="2"/>
  <c r="I5" i="2"/>
  <c r="I6" i="2"/>
  <c r="I7" i="2"/>
  <c r="I8" i="2"/>
  <c r="Y5" i="2"/>
  <c r="Y6" i="2"/>
  <c r="Y7" i="2"/>
  <c r="Y8" i="2"/>
  <c r="M12" i="2"/>
  <c r="G14" i="2"/>
  <c r="F6" i="1"/>
  <c r="F8" i="1"/>
  <c r="F10" i="1"/>
  <c r="AH9" i="1"/>
  <c r="AJ11" i="1"/>
  <c r="L36" i="1"/>
  <c r="L37" i="1"/>
  <c r="L38" i="1"/>
  <c r="L39" i="1"/>
  <c r="E45" i="1"/>
  <c r="I55" i="1"/>
  <c r="I57" i="1"/>
  <c r="I59" i="1"/>
  <c r="L64" i="1"/>
  <c r="L65" i="1"/>
  <c r="L66" i="1"/>
  <c r="L67" i="1"/>
  <c r="G7" i="4"/>
  <c r="H7" i="4"/>
  <c r="G13" i="2"/>
  <c r="H14" i="2"/>
  <c r="G8" i="1"/>
  <c r="G10" i="1"/>
  <c r="AI9" i="1"/>
  <c r="AH12" i="1"/>
  <c r="K5" i="2"/>
  <c r="K6" i="2"/>
  <c r="K7" i="2"/>
  <c r="K8" i="2"/>
  <c r="O7" i="2"/>
  <c r="S5" i="2"/>
  <c r="S6" i="2"/>
  <c r="S7" i="2"/>
  <c r="S8" i="2"/>
  <c r="G12" i="2"/>
  <c r="H13" i="2"/>
  <c r="I14" i="2"/>
  <c r="O14" i="2"/>
  <c r="H6" i="1"/>
  <c r="H8" i="1"/>
  <c r="H10" i="1"/>
  <c r="AH7" i="1"/>
  <c r="AJ9" i="1"/>
  <c r="AI12" i="1"/>
  <c r="F36" i="1"/>
  <c r="F37" i="1"/>
  <c r="F38" i="1"/>
  <c r="F39" i="1"/>
  <c r="E46" i="1"/>
  <c r="K44" i="1"/>
  <c r="K46" i="1"/>
  <c r="K55" i="1"/>
  <c r="K57" i="1"/>
  <c r="K59" i="1"/>
  <c r="F64" i="1"/>
  <c r="F65" i="1"/>
  <c r="F66" i="1"/>
  <c r="F67" i="1"/>
  <c r="G4" i="4"/>
  <c r="G8" i="4"/>
  <c r="L5" i="2"/>
  <c r="L6" i="2"/>
  <c r="L7" i="2"/>
  <c r="L8" i="2"/>
  <c r="H12" i="2"/>
  <c r="I13" i="2"/>
  <c r="J14" i="2"/>
  <c r="E7" i="1"/>
  <c r="E9" i="1"/>
  <c r="E11" i="1"/>
  <c r="AI7" i="1"/>
  <c r="AH10" i="1"/>
  <c r="AJ12" i="1"/>
  <c r="F46" i="1"/>
  <c r="L55" i="1"/>
  <c r="L57" i="1"/>
  <c r="L59" i="1"/>
  <c r="H4" i="4"/>
  <c r="H8" i="4"/>
  <c r="M5" i="2"/>
  <c r="M6" i="2"/>
  <c r="M7" i="2"/>
  <c r="M8" i="2"/>
  <c r="I12" i="2"/>
  <c r="J13" i="2"/>
  <c r="K14" i="2"/>
  <c r="F7" i="1"/>
  <c r="F9" i="1"/>
  <c r="F11" i="1"/>
  <c r="AJ7" i="1"/>
  <c r="AI10" i="1"/>
  <c r="E43" i="1"/>
  <c r="E47" i="1"/>
  <c r="I54" i="1"/>
  <c r="I56" i="1"/>
  <c r="I58" i="1"/>
  <c r="I60" i="1"/>
  <c r="G5" i="4"/>
  <c r="G9" i="4"/>
  <c r="F5" i="2"/>
  <c r="F6" i="2"/>
  <c r="F7" i="2"/>
  <c r="V5" i="2"/>
  <c r="V6" i="2"/>
  <c r="V7" i="2"/>
  <c r="J12" i="2"/>
  <c r="K13" i="2"/>
  <c r="G7" i="1"/>
  <c r="G9" i="1"/>
  <c r="AH8" i="1"/>
  <c r="I36" i="1"/>
  <c r="I37" i="1"/>
  <c r="I38" i="1"/>
  <c r="F43" i="1"/>
  <c r="J54" i="1"/>
  <c r="J56" i="1"/>
  <c r="J58" i="1"/>
  <c r="I64" i="1"/>
  <c r="I65" i="1"/>
  <c r="I66" i="1"/>
  <c r="H5" i="4"/>
  <c r="E17" i="1"/>
  <c r="E16" i="1"/>
  <c r="I8" i="1" l="1"/>
  <c r="I10" i="1"/>
  <c r="H12" i="1"/>
  <c r="AE8" i="1" s="1"/>
  <c r="I7" i="1"/>
  <c r="I11" i="1"/>
  <c r="J11" i="1" s="1"/>
  <c r="J9" i="1"/>
  <c r="I9" i="1"/>
  <c r="G12" i="1"/>
  <c r="I6" i="1"/>
  <c r="J10" i="1" l="1"/>
  <c r="U19" i="1"/>
  <c r="I12" i="1"/>
  <c r="J6" i="1"/>
  <c r="AD8" i="1"/>
  <c r="J7" i="1"/>
  <c r="J8" i="1"/>
  <c r="N8" i="1" s="1"/>
  <c r="K24" i="1"/>
  <c r="K10" i="1"/>
  <c r="O10" i="1" s="1"/>
  <c r="K9" i="1"/>
  <c r="O9" i="1" s="1"/>
  <c r="K6" i="1"/>
  <c r="W6" i="1" s="1" a="1"/>
  <c r="F15" i="1" a="1"/>
  <c r="K23" i="1"/>
  <c r="K8" i="1"/>
  <c r="O8" i="1" s="1"/>
  <c r="K7" i="1"/>
  <c r="O7" i="1" s="1"/>
  <c r="K11" i="1"/>
  <c r="N6" i="1" l="1"/>
  <c r="N7" i="1"/>
  <c r="N9" i="1"/>
  <c r="L9" i="1"/>
  <c r="M9" i="1" s="1"/>
  <c r="P9" i="1" s="1"/>
  <c r="Y7" i="1"/>
  <c r="X7" i="1"/>
  <c r="W7" i="1"/>
  <c r="X6" i="1"/>
  <c r="Y6" i="1"/>
  <c r="Y8" i="1"/>
  <c r="W6" i="1"/>
  <c r="AA6" i="1" s="1" a="1"/>
  <c r="X8" i="1"/>
  <c r="W8" i="1"/>
  <c r="N10" i="1"/>
  <c r="AK7" i="1"/>
  <c r="AL7" i="1"/>
  <c r="F17" i="1"/>
  <c r="F16" i="1"/>
  <c r="F15" i="1"/>
  <c r="AE6" i="1"/>
  <c r="AE7" i="1" s="1"/>
  <c r="AE10" i="1" s="1"/>
  <c r="O6" i="1"/>
  <c r="O12" i="1" s="1"/>
  <c r="AD6" i="1"/>
  <c r="AD7" i="1" s="1"/>
  <c r="L8" i="1"/>
  <c r="L6" i="1"/>
  <c r="O11" i="1"/>
  <c r="U5" i="1"/>
  <c r="L11" i="1"/>
  <c r="L10" i="1"/>
  <c r="L7" i="1"/>
  <c r="AF8" i="1"/>
  <c r="N11" i="1"/>
  <c r="N12" i="1" s="1"/>
  <c r="U6" i="1" s="1"/>
  <c r="AF7" i="1" l="1"/>
  <c r="AA8" i="1"/>
  <c r="AA7" i="1"/>
  <c r="AA6" i="1"/>
  <c r="U8" i="1"/>
  <c r="U10" i="1" s="1"/>
  <c r="U12" i="1" s="1"/>
  <c r="U14" i="1"/>
  <c r="U15" i="1"/>
  <c r="U16" i="1" s="1"/>
  <c r="AK8" i="1"/>
  <c r="M11" i="1"/>
  <c r="P11" i="1" s="1"/>
  <c r="M10" i="1"/>
  <c r="P10" i="1" s="1"/>
  <c r="J16" i="1"/>
  <c r="L12" i="1"/>
  <c r="M6" i="1"/>
  <c r="J17" i="1"/>
  <c r="AF10" i="1"/>
  <c r="AD10" i="1"/>
  <c r="AF6" i="1"/>
  <c r="J15" i="1"/>
  <c r="M7" i="1"/>
  <c r="P7" i="1" s="1"/>
  <c r="M8" i="1"/>
  <c r="P8" i="1" s="1"/>
  <c r="AL8" i="1"/>
  <c r="G30" i="1" l="1"/>
  <c r="G29" i="1"/>
  <c r="M12" i="1"/>
  <c r="P6" i="1"/>
  <c r="P12" i="1" s="1"/>
  <c r="U18" i="1" s="1"/>
  <c r="U20" i="1" s="1"/>
  <c r="U22" i="1" s="1"/>
  <c r="AL9" i="1"/>
  <c r="AK9" i="1"/>
  <c r="AK10" i="1" l="1"/>
  <c r="AL10" i="1"/>
  <c r="AL11" i="1" l="1"/>
  <c r="AK11" i="1"/>
  <c r="AL12" i="1" l="1"/>
  <c r="AK12" i="1"/>
  <c r="AM11" i="1" s="1"/>
  <c r="AN6" i="1" l="1"/>
  <c r="AN12" i="1"/>
  <c r="AN7" i="1"/>
  <c r="AN8" i="1"/>
  <c r="AN9" i="1"/>
  <c r="AN10" i="1"/>
  <c r="AM6" i="1"/>
  <c r="AM12" i="1"/>
  <c r="AM7" i="1"/>
  <c r="AM8" i="1"/>
  <c r="AM9" i="1"/>
  <c r="AM10" i="1"/>
  <c r="AN11" i="1"/>
  <c r="AO6" i="1" l="1"/>
  <c r="AO9" i="1"/>
  <c r="AO7" i="1"/>
  <c r="AO10" i="1"/>
  <c r="AO8" i="1"/>
  <c r="AO12" i="1"/>
  <c r="AO11" i="1"/>
  <c r="AO13" i="1" l="1"/>
  <c r="H17" i="1" l="1"/>
  <c r="I17" i="1" s="1"/>
  <c r="H16" i="1"/>
  <c r="I16" i="1" s="1"/>
  <c r="L17" i="1"/>
  <c r="L16" i="1"/>
  <c r="K17" i="1"/>
  <c r="K16" i="1"/>
  <c r="H15" i="1"/>
  <c r="I15" i="1" s="1"/>
</calcChain>
</file>

<file path=xl/sharedStrings.xml><?xml version="1.0" encoding="utf-8"?>
<sst xmlns="http://schemas.openxmlformats.org/spreadsheetml/2006/main" count="131" uniqueCount="74">
  <si>
    <t>Logistic Regression using raw data</t>
  </si>
  <si>
    <t>Temp</t>
  </si>
  <si>
    <t>Water</t>
  </si>
  <si>
    <t>Male</t>
  </si>
  <si>
    <t>Logistic Regression</t>
  </si>
  <si>
    <t>Classification Table</t>
  </si>
  <si>
    <t>ROC Table</t>
  </si>
  <si>
    <t>For display purposes only</t>
  </si>
  <si>
    <t>Success</t>
  </si>
  <si>
    <t>Failure</t>
  </si>
  <si>
    <t>Total</t>
  </si>
  <si>
    <t>p-Obs</t>
  </si>
  <si>
    <t>p-Pred</t>
  </si>
  <si>
    <t>Suc-Pred</t>
  </si>
  <si>
    <t>Fail-Pred</t>
  </si>
  <si>
    <t>LL</t>
  </si>
  <si>
    <t>% Correct</t>
  </si>
  <si>
    <t>HL Stat</t>
  </si>
  <si>
    <t>Coeff</t>
  </si>
  <si>
    <t>LL0</t>
  </si>
  <si>
    <t>Covariance Matrix</t>
  </si>
  <si>
    <t>Converge</t>
  </si>
  <si>
    <t>Suc-Obs</t>
  </si>
  <si>
    <t>Fail-Obs</t>
  </si>
  <si>
    <t>Fail-Cum</t>
  </si>
  <si>
    <t>Suc-Cum</t>
  </si>
  <si>
    <t>FPR</t>
  </si>
  <si>
    <t>TPR</t>
  </si>
  <si>
    <t>AUC</t>
  </si>
  <si>
    <t>Subject</t>
  </si>
  <si>
    <t>LL1</t>
  </si>
  <si>
    <t>Chi-Sq</t>
  </si>
  <si>
    <t>df</t>
  </si>
  <si>
    <t>p-value</t>
  </si>
  <si>
    <t>Accuracy</t>
  </si>
  <si>
    <t>alpha</t>
  </si>
  <si>
    <t>sig</t>
  </si>
  <si>
    <t>Cutoff</t>
  </si>
  <si>
    <t>coeff b</t>
  </si>
  <si>
    <t>s.e.</t>
  </si>
  <si>
    <t>Wald</t>
  </si>
  <si>
    <t>exp(b)</t>
  </si>
  <si>
    <t>lower</t>
  </si>
  <si>
    <t>upper</t>
  </si>
  <si>
    <t>R-Sq (L)</t>
  </si>
  <si>
    <t>Intercept</t>
  </si>
  <si>
    <t>R-Sq (CS)</t>
  </si>
  <si>
    <t>R-Sq (N)</t>
  </si>
  <si>
    <t>Hosmer</t>
  </si>
  <si>
    <t>Prediction</t>
  </si>
  <si>
    <t>Female</t>
  </si>
  <si>
    <t>Using Real Statistics formulas</t>
  </si>
  <si>
    <t>=LogitCoeff(A3:C52,TRUE,TRUE,TRUE)</t>
  </si>
  <si>
    <t>=LogitPred(N37:O37,$A$4:$C$52,TRUE)</t>
  </si>
  <si>
    <t>=LogitPredC(N43:O43,$F$37:$F$39)</t>
  </si>
  <si>
    <t>=LogitTest(A4:C52,TRUE,TRUE)</t>
  </si>
  <si>
    <t>=LogitSummary(A4:C52)</t>
  </si>
  <si>
    <t>=LogitPred(N49:O49,$E$6:$H$11)</t>
  </si>
  <si>
    <t>=LogitSummary(A3:C52,TRUE)</t>
  </si>
  <si>
    <t>=LogitCoeff(A4:C52,TRUE,TRUE)</t>
  </si>
  <si>
    <t>Logistic Regression using Real Statistics Real Statistics functions</t>
  </si>
  <si>
    <t>=LogitCoeff(A4:D15,TRUE,,TRUE)</t>
  </si>
  <si>
    <t>=LogitTest(A4:D15,1)</t>
  </si>
  <si>
    <t>=LogitCoeff(A4:D15,TRUE)</t>
  </si>
  <si>
    <t>=LogitCoeff(A4:D15)</t>
  </si>
  <si>
    <t>=LogitRSquare(A4:D15,TRUE)</t>
  </si>
  <si>
    <t>=LogitPred(I19:J19,$A$4:$D$15)</t>
  </si>
  <si>
    <t>p-Male</t>
  </si>
  <si>
    <t>=LogitPredC(I25:J25,$G$18:$G$20)</t>
  </si>
  <si>
    <t>Real Statistics Using Excel</t>
  </si>
  <si>
    <t>Updated</t>
  </si>
  <si>
    <t>Copyright © 2013 - 2023 Charles Zaiontz</t>
  </si>
  <si>
    <t>Real Statistics Functions for Logistic Regression</t>
  </si>
  <si>
    <t>Logistic Regression using raw data (alternative approach)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</si>
</sst>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4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quotePrefix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0" xfId="0" quotePrefix="1" applyAlignment="1">
      <alignment horizontal="lef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Raw!$AM$6:$AM$12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Raw!$AN$6:$AN$12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4-496F-8994-345780AAD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1264"/>
        <c:axId val="736833616"/>
      </c:scatterChart>
      <c:valAx>
        <c:axId val="73683126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3616"/>
        <c:crosses val="autoZero"/>
        <c:crossBetween val="midCat"/>
      </c:valAx>
      <c:valAx>
        <c:axId val="73683361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266700</xdr:colOff>
      <xdr:row>14</xdr:row>
      <xdr:rowOff>61912</xdr:rowOff>
    </xdr:from>
    <xdr:to>
      <xdr:col>40</xdr:col>
      <xdr:colOff>571500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08938-101D-405B-9F1E-F61DE94CC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Regression%202%2025%20April%202022.xlsx" TargetMode="External"/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M6">
            <v>1</v>
          </cell>
          <cell r="AN6">
            <v>1</v>
          </cell>
        </row>
        <row r="7">
          <cell r="AM7">
            <v>0.75</v>
          </cell>
          <cell r="AN7">
            <v>0.92</v>
          </cell>
        </row>
        <row r="8">
          <cell r="AM8">
            <v>0.54166666666666674</v>
          </cell>
          <cell r="AN8">
            <v>0.84</v>
          </cell>
        </row>
        <row r="9">
          <cell r="AM9">
            <v>0.33333333333333337</v>
          </cell>
          <cell r="AN9">
            <v>0.67999999999999994</v>
          </cell>
        </row>
        <row r="10">
          <cell r="AM10">
            <v>0.20833333333333337</v>
          </cell>
          <cell r="AN10">
            <v>0.48</v>
          </cell>
        </row>
        <row r="11">
          <cell r="AM11">
            <v>4.166666666666663E-2</v>
          </cell>
          <cell r="AN11">
            <v>0.28000000000000003</v>
          </cell>
        </row>
        <row r="12">
          <cell r="AM12">
            <v>0</v>
          </cell>
          <cell r="AN1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DB0A-AD1D-40B9-BA75-7C239C91672F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69</v>
      </c>
    </row>
    <row r="2" spans="1:2" x14ac:dyDescent="0.35">
      <c r="A2" t="s">
        <v>72</v>
      </c>
    </row>
    <row r="4" spans="1:2" x14ac:dyDescent="0.35">
      <c r="A4" t="s">
        <v>70</v>
      </c>
      <c r="B4" s="34">
        <v>45017</v>
      </c>
    </row>
    <row r="6" spans="1:2" x14ac:dyDescent="0.35">
      <c r="A6" s="35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1CA7-764F-480A-8DF8-2841D66C01D0}">
  <sheetPr codeName="Sheet274"/>
  <dimension ref="A1:Y26"/>
  <sheetViews>
    <sheetView workbookViewId="0"/>
  </sheetViews>
  <sheetFormatPr defaultRowHeight="14.5" x14ac:dyDescent="0.35"/>
  <cols>
    <col min="1" max="1" width="7" customWidth="1"/>
    <col min="2" max="4" width="7.7265625" customWidth="1"/>
    <col min="5" max="5" width="6" customWidth="1"/>
    <col min="7" max="13" width="9.1796875" customWidth="1"/>
    <col min="14" max="14" width="3.81640625" customWidth="1"/>
    <col min="15" max="15" width="10.26953125" customWidth="1"/>
    <col min="19" max="21" width="9.26953125" bestFit="1" customWidth="1"/>
    <col min="22" max="25" width="9.26953125" customWidth="1"/>
  </cols>
  <sheetData>
    <row r="1" spans="1:25" x14ac:dyDescent="0.35">
      <c r="A1" s="1" t="s">
        <v>60</v>
      </c>
      <c r="B1" s="1"/>
    </row>
    <row r="3" spans="1:25" x14ac:dyDescent="0.35">
      <c r="A3" s="32" t="s">
        <v>1</v>
      </c>
      <c r="B3" s="32" t="s">
        <v>2</v>
      </c>
      <c r="C3" s="32" t="s">
        <v>3</v>
      </c>
      <c r="D3" s="32" t="s">
        <v>50</v>
      </c>
      <c r="F3" s="33" t="s">
        <v>61</v>
      </c>
      <c r="O3" s="28" t="s">
        <v>62</v>
      </c>
      <c r="R3" s="33" t="s">
        <v>63</v>
      </c>
    </row>
    <row r="4" spans="1:25" x14ac:dyDescent="0.35">
      <c r="A4">
        <v>20</v>
      </c>
      <c r="B4">
        <v>0</v>
      </c>
      <c r="C4">
        <v>21</v>
      </c>
      <c r="D4">
        <v>0</v>
      </c>
    </row>
    <row r="5" spans="1:25" x14ac:dyDescent="0.35">
      <c r="A5">
        <v>21</v>
      </c>
      <c r="B5">
        <v>0</v>
      </c>
      <c r="C5">
        <v>90</v>
      </c>
      <c r="D5">
        <v>6</v>
      </c>
      <c r="F5" t="e">
        <f t="array" aca="1" ref="F5:M8" ca="1">LogitCoeff(A3:D15,TRUE,,TRUE)</f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O5" t="e">
        <f t="array" aca="1" ref="O5:P9" ca="1">LogitTest(A4:D15,1)</f>
        <v>#NAME?</v>
      </c>
      <c r="P5" s="5" t="e">
        <f ca="1"/>
        <v>#NAME?</v>
      </c>
      <c r="R5" t="e">
        <f t="array" aca="1" ref="R5:Y8" ca="1">LogitCoeff(A4:D15,TRUE)</f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t="e">
        <f ca="1"/>
        <v>#NAME?</v>
      </c>
    </row>
    <row r="6" spans="1:25" x14ac:dyDescent="0.35">
      <c r="A6">
        <v>22</v>
      </c>
      <c r="B6">
        <v>0</v>
      </c>
      <c r="C6">
        <v>91</v>
      </c>
      <c r="D6">
        <v>23</v>
      </c>
      <c r="F6" t="e">
        <f ca="1"/>
        <v>#NAME?</v>
      </c>
      <c r="G6" s="3" t="e">
        <f ca="1"/>
        <v>#NAME?</v>
      </c>
      <c r="H6" s="4" t="e">
        <f ca="1"/>
        <v>#NAME?</v>
      </c>
      <c r="I6" s="4" t="e">
        <f ca="1"/>
        <v>#NAME?</v>
      </c>
      <c r="J6" s="4" t="e">
        <f ca="1"/>
        <v>#NAME?</v>
      </c>
      <c r="K6" s="4" t="e">
        <f ca="1"/>
        <v>#NAME?</v>
      </c>
      <c r="L6" s="4" t="e">
        <f ca="1"/>
        <v>#NAME?</v>
      </c>
      <c r="M6" s="29" t="e">
        <f ca="1"/>
        <v>#NAME?</v>
      </c>
      <c r="O6" t="e">
        <f ca="1"/>
        <v>#NAME?</v>
      </c>
      <c r="P6" s="7" t="e">
        <f ca="1"/>
        <v>#NAME?</v>
      </c>
      <c r="R6" t="e">
        <f ca="1"/>
        <v>#NAME?</v>
      </c>
      <c r="S6" s="3" t="e">
        <f ca="1"/>
        <v>#NAME?</v>
      </c>
      <c r="T6" s="4" t="e">
        <f ca="1"/>
        <v>#NAME?</v>
      </c>
      <c r="U6" s="4" t="e">
        <f ca="1"/>
        <v>#NAME?</v>
      </c>
      <c r="V6" s="4" t="e">
        <f ca="1"/>
        <v>#NAME?</v>
      </c>
      <c r="W6" s="4" t="e">
        <f ca="1"/>
        <v>#NAME?</v>
      </c>
      <c r="X6" s="4" t="e">
        <f ca="1"/>
        <v>#NAME?</v>
      </c>
      <c r="Y6" s="29" t="e">
        <f ca="1"/>
        <v>#NAME?</v>
      </c>
    </row>
    <row r="7" spans="1:25" x14ac:dyDescent="0.35">
      <c r="A7">
        <v>23</v>
      </c>
      <c r="B7">
        <v>0</v>
      </c>
      <c r="C7">
        <v>61</v>
      </c>
      <c r="D7">
        <v>73</v>
      </c>
      <c r="F7" t="e">
        <f ca="1"/>
        <v>#NAME?</v>
      </c>
      <c r="G7" s="6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s="30" t="e">
        <f ca="1"/>
        <v>#NAME?</v>
      </c>
      <c r="O7" t="e">
        <f ca="1"/>
        <v>#NAME?</v>
      </c>
      <c r="P7" s="7" t="e">
        <f ca="1"/>
        <v>#NAME?</v>
      </c>
      <c r="R7" t="e">
        <f ca="1"/>
        <v>#NAME?</v>
      </c>
      <c r="S7" s="6" t="e">
        <f ca="1"/>
        <v>#NAME?</v>
      </c>
      <c r="T7" t="e">
        <f ca="1"/>
        <v>#NAME?</v>
      </c>
      <c r="U7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s="30" t="e">
        <f ca="1"/>
        <v>#NAME?</v>
      </c>
    </row>
    <row r="8" spans="1:25" x14ac:dyDescent="0.35">
      <c r="A8">
        <v>24</v>
      </c>
      <c r="B8">
        <v>0</v>
      </c>
      <c r="C8">
        <v>11</v>
      </c>
      <c r="D8">
        <v>41</v>
      </c>
      <c r="F8" t="e">
        <f ca="1"/>
        <v>#NAME?</v>
      </c>
      <c r="G8" s="26" t="e">
        <f ca="1"/>
        <v>#NAME?</v>
      </c>
      <c r="H8" s="21" t="e">
        <f ca="1"/>
        <v>#NAME?</v>
      </c>
      <c r="I8" s="21" t="e">
        <f ca="1"/>
        <v>#NAME?</v>
      </c>
      <c r="J8" s="21" t="e">
        <f ca="1"/>
        <v>#NAME?</v>
      </c>
      <c r="K8" s="21" t="e">
        <f ca="1"/>
        <v>#NAME?</v>
      </c>
      <c r="L8" s="21" t="e">
        <f ca="1"/>
        <v>#NAME?</v>
      </c>
      <c r="M8" s="31" t="e">
        <f ca="1"/>
        <v>#NAME?</v>
      </c>
      <c r="O8" t="e">
        <f ca="1"/>
        <v>#NAME?</v>
      </c>
      <c r="P8" s="7" t="e">
        <f ca="1"/>
        <v>#NAME?</v>
      </c>
      <c r="R8" t="e">
        <f ca="1"/>
        <v>#NAME?</v>
      </c>
      <c r="S8" s="26" t="e">
        <f ca="1"/>
        <v>#NAME?</v>
      </c>
      <c r="T8" s="21" t="e">
        <f ca="1"/>
        <v>#NAME?</v>
      </c>
      <c r="U8" s="21" t="e">
        <f ca="1"/>
        <v>#NAME?</v>
      </c>
      <c r="V8" s="21" t="e">
        <f ca="1"/>
        <v>#NAME?</v>
      </c>
      <c r="W8" s="21" t="e">
        <f ca="1"/>
        <v>#NAME?</v>
      </c>
      <c r="X8" s="21" t="e">
        <f ca="1"/>
        <v>#NAME?</v>
      </c>
      <c r="Y8" s="31" t="e">
        <f ca="1"/>
        <v>#NAME?</v>
      </c>
    </row>
    <row r="9" spans="1:25" x14ac:dyDescent="0.35">
      <c r="A9">
        <v>25</v>
      </c>
      <c r="B9">
        <v>0</v>
      </c>
      <c r="C9">
        <v>4</v>
      </c>
      <c r="D9">
        <v>28</v>
      </c>
      <c r="O9" t="e">
        <f ca="1"/>
        <v>#NAME?</v>
      </c>
      <c r="P9" s="27" t="e">
        <f ca="1"/>
        <v>#NAME?</v>
      </c>
    </row>
    <row r="10" spans="1:25" x14ac:dyDescent="0.35">
      <c r="A10">
        <v>20</v>
      </c>
      <c r="B10">
        <v>1</v>
      </c>
      <c r="C10">
        <v>18</v>
      </c>
      <c r="D10">
        <v>4</v>
      </c>
      <c r="F10" s="28" t="s">
        <v>64</v>
      </c>
    </row>
    <row r="11" spans="1:25" x14ac:dyDescent="0.35">
      <c r="A11">
        <v>21</v>
      </c>
      <c r="B11">
        <v>1</v>
      </c>
      <c r="C11">
        <v>75</v>
      </c>
      <c r="D11">
        <v>9</v>
      </c>
      <c r="O11" s="28" t="s">
        <v>65</v>
      </c>
    </row>
    <row r="12" spans="1:25" x14ac:dyDescent="0.35">
      <c r="A12">
        <v>22</v>
      </c>
      <c r="B12">
        <v>1</v>
      </c>
      <c r="C12">
        <v>68</v>
      </c>
      <c r="D12">
        <v>21</v>
      </c>
      <c r="G12" s="3" t="e">
        <f t="array" aca="1" ref="G12:M14" ca="1">LogitCoeff(A4:D15)</f>
        <v>#NAME?</v>
      </c>
      <c r="H12" s="4" t="e">
        <f ca="1"/>
        <v>#NAME?</v>
      </c>
      <c r="I12" s="4" t="e">
        <f ca="1"/>
        <v>#NAME?</v>
      </c>
      <c r="J12" s="4" t="e">
        <f ca="1"/>
        <v>#NAME?</v>
      </c>
      <c r="K12" s="4" t="e">
        <f ca="1"/>
        <v>#NAME?</v>
      </c>
      <c r="L12" s="4" t="e">
        <f ca="1"/>
        <v>#NAME?</v>
      </c>
      <c r="M12" s="29" t="e">
        <f ca="1"/>
        <v>#NAME?</v>
      </c>
    </row>
    <row r="13" spans="1:25" x14ac:dyDescent="0.35">
      <c r="A13">
        <v>23</v>
      </c>
      <c r="B13">
        <v>1</v>
      </c>
      <c r="C13">
        <v>59</v>
      </c>
      <c r="D13">
        <v>65</v>
      </c>
      <c r="G13" s="6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s="30" t="e">
        <f ca="1"/>
        <v>#NAME?</v>
      </c>
      <c r="O13" t="e">
        <f t="array" aca="1" ref="O13:P19" ca="1">LogitRSquare(A4:D15,TRUE)</f>
        <v>#NAME?</v>
      </c>
      <c r="P13" s="5" t="e">
        <f ca="1"/>
        <v>#NAME?</v>
      </c>
    </row>
    <row r="14" spans="1:25" x14ac:dyDescent="0.35">
      <c r="A14">
        <v>24</v>
      </c>
      <c r="B14">
        <v>1</v>
      </c>
      <c r="C14">
        <v>17</v>
      </c>
      <c r="D14">
        <v>46</v>
      </c>
      <c r="G14" s="26" t="e">
        <f ca="1"/>
        <v>#NAME?</v>
      </c>
      <c r="H14" s="21" t="e">
        <f ca="1"/>
        <v>#NAME?</v>
      </c>
      <c r="I14" s="21" t="e">
        <f ca="1"/>
        <v>#NAME?</v>
      </c>
      <c r="J14" s="21" t="e">
        <f ca="1"/>
        <v>#NAME?</v>
      </c>
      <c r="K14" s="21" t="e">
        <f ca="1"/>
        <v>#NAME?</v>
      </c>
      <c r="L14" s="21" t="e">
        <f ca="1"/>
        <v>#NAME?</v>
      </c>
      <c r="M14" s="31" t="e">
        <f ca="1"/>
        <v>#NAME?</v>
      </c>
      <c r="O14" t="e">
        <f ca="1"/>
        <v>#NAME?</v>
      </c>
      <c r="P14" s="7" t="e">
        <f ca="1"/>
        <v>#NAME?</v>
      </c>
    </row>
    <row r="15" spans="1:25" x14ac:dyDescent="0.35">
      <c r="A15" s="21">
        <v>25</v>
      </c>
      <c r="B15" s="21">
        <v>1</v>
      </c>
      <c r="C15" s="21">
        <v>7</v>
      </c>
      <c r="D15" s="21">
        <v>22</v>
      </c>
      <c r="O15" t="e">
        <f ca="1"/>
        <v>#NAME?</v>
      </c>
      <c r="P15" s="7" t="e">
        <f ca="1"/>
        <v>#NAME?</v>
      </c>
    </row>
    <row r="16" spans="1:25" x14ac:dyDescent="0.35">
      <c r="C16">
        <f>SUM(C4:C15)</f>
        <v>522</v>
      </c>
      <c r="D16">
        <f>SUM(D4:D15)</f>
        <v>338</v>
      </c>
      <c r="F16" s="28" t="s">
        <v>64</v>
      </c>
      <c r="I16" s="28" t="s">
        <v>66</v>
      </c>
      <c r="O16" t="e">
        <f ca="1"/>
        <v>#NAME?</v>
      </c>
      <c r="P16" s="7" t="e">
        <f ca="1"/>
        <v>#NAME?</v>
      </c>
    </row>
    <row r="17" spans="7:16" x14ac:dyDescent="0.35">
      <c r="O17" t="e">
        <f ca="1"/>
        <v>#NAME?</v>
      </c>
      <c r="P17" s="7" t="e">
        <f ca="1"/>
        <v>#NAME?</v>
      </c>
    </row>
    <row r="18" spans="7:16" x14ac:dyDescent="0.35">
      <c r="G18" s="5" t="e">
        <f t="array" aca="1" ref="G18:G20" ca="1">LogitCoeff(A4:D15)</f>
        <v>#NAME?</v>
      </c>
      <c r="I18" t="s">
        <v>1</v>
      </c>
      <c r="J18" t="s">
        <v>2</v>
      </c>
      <c r="K18" t="s">
        <v>67</v>
      </c>
      <c r="O18" t="e">
        <f ca="1"/>
        <v>#NAME?</v>
      </c>
      <c r="P18" s="7" t="e">
        <f ca="1"/>
        <v>#NAME?</v>
      </c>
    </row>
    <row r="19" spans="7:16" x14ac:dyDescent="0.35">
      <c r="G19" s="7" t="e">
        <f ca="1"/>
        <v>#NAME?</v>
      </c>
      <c r="I19" s="3">
        <v>21</v>
      </c>
      <c r="J19" s="4">
        <v>0</v>
      </c>
      <c r="K19" s="29" t="e">
        <f ca="1">LogitPred(I19:J19,$A$4:$D$15)</f>
        <v>#NAME?</v>
      </c>
      <c r="O19" t="e">
        <f ca="1"/>
        <v>#NAME?</v>
      </c>
      <c r="P19" s="27" t="e">
        <f ca="1"/>
        <v>#NAME?</v>
      </c>
    </row>
    <row r="20" spans="7:16" x14ac:dyDescent="0.35">
      <c r="G20" s="27" t="e">
        <f ca="1"/>
        <v>#NAME?</v>
      </c>
      <c r="I20" s="26">
        <v>21.5</v>
      </c>
      <c r="J20" s="21">
        <v>0</v>
      </c>
      <c r="K20" s="31" t="e">
        <f ca="1">LogitPred(I20:J20,$A$4:$D$15)</f>
        <v>#NAME?</v>
      </c>
    </row>
    <row r="22" spans="7:16" x14ac:dyDescent="0.35">
      <c r="I22" s="28" t="s">
        <v>68</v>
      </c>
    </row>
    <row r="24" spans="7:16" x14ac:dyDescent="0.35">
      <c r="I24" t="s">
        <v>1</v>
      </c>
      <c r="J24" t="s">
        <v>2</v>
      </c>
      <c r="K24" t="s">
        <v>67</v>
      </c>
    </row>
    <row r="25" spans="7:16" x14ac:dyDescent="0.35">
      <c r="I25" s="3">
        <v>21</v>
      </c>
      <c r="J25" s="4">
        <v>0</v>
      </c>
      <c r="K25" s="29" t="e">
        <f ca="1">LogitPredC(I25:J25,$G$18:$G$20)</f>
        <v>#NAME?</v>
      </c>
    </row>
    <row r="26" spans="7:16" x14ac:dyDescent="0.35">
      <c r="I26" s="26">
        <v>21.5</v>
      </c>
      <c r="J26" s="21">
        <v>0</v>
      </c>
      <c r="K26" s="31" t="e">
        <f ca="1">LogitPredC(I26:J26,$G$18:$G$20)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8351-FF08-4E3C-A2B6-7113887C07D8}">
  <sheetPr codeName="Sheet269"/>
  <dimension ref="A1:AZ67"/>
  <sheetViews>
    <sheetView zoomScaleNormal="100" workbookViewId="0"/>
  </sheetViews>
  <sheetFormatPr defaultRowHeight="14.5" x14ac:dyDescent="0.35"/>
  <cols>
    <col min="1" max="3" width="7" customWidth="1"/>
    <col min="4" max="4" width="3" customWidth="1"/>
    <col min="7" max="8" width="9.1796875" customWidth="1"/>
    <col min="9" max="9" width="8.7265625" customWidth="1"/>
    <col min="14" max="14" width="8.7265625" customWidth="1"/>
    <col min="15" max="15" width="9.1796875" customWidth="1"/>
    <col min="17" max="17" width="8" customWidth="1"/>
    <col min="18" max="18" width="8.81640625" customWidth="1"/>
    <col min="19" max="19" width="3.1796875" customWidth="1"/>
    <col min="20" max="20" width="9.1796875" customWidth="1"/>
    <col min="22" max="22" width="3.1796875" customWidth="1"/>
    <col min="24" max="24" width="9.1796875" customWidth="1"/>
    <col min="26" max="26" width="3.81640625" customWidth="1"/>
  </cols>
  <sheetData>
    <row r="1" spans="1:52" x14ac:dyDescent="0.35">
      <c r="A1" s="1" t="s">
        <v>0</v>
      </c>
    </row>
    <row r="3" spans="1:52" x14ac:dyDescent="0.35">
      <c r="A3" s="2" t="s">
        <v>1</v>
      </c>
      <c r="B3" s="2" t="s">
        <v>2</v>
      </c>
      <c r="C3" s="2" t="s">
        <v>3</v>
      </c>
      <c r="E3" t="s">
        <v>4</v>
      </c>
      <c r="AC3" t="s">
        <v>5</v>
      </c>
      <c r="AH3" t="s">
        <v>6</v>
      </c>
      <c r="AR3" t="s">
        <v>7</v>
      </c>
    </row>
    <row r="4" spans="1:52" ht="15" thickBot="1" x14ac:dyDescent="0.4">
      <c r="A4" s="3">
        <v>20</v>
      </c>
      <c r="B4" s="4">
        <v>0</v>
      </c>
      <c r="C4" s="5">
        <v>1</v>
      </c>
    </row>
    <row r="5" spans="1:52" ht="15" thickTop="1" x14ac:dyDescent="0.35">
      <c r="A5" s="6">
        <v>22</v>
      </c>
      <c r="B5">
        <v>1</v>
      </c>
      <c r="C5" s="7">
        <v>1</v>
      </c>
      <c r="E5" s="8" t="str">
        <f>A3</f>
        <v>Temp</v>
      </c>
      <c r="F5" s="8" t="str">
        <f>B3</f>
        <v>Water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R5" t="s">
        <v>18</v>
      </c>
      <c r="T5" t="s">
        <v>19</v>
      </c>
      <c r="U5" s="9" t="e">
        <f ca="1">G12*LN(G12/I12)+H12*LN(H12/I12)</f>
        <v>#NAME?</v>
      </c>
      <c r="W5" t="s">
        <v>20</v>
      </c>
      <c r="AA5" t="s">
        <v>21</v>
      </c>
      <c r="AD5" s="10" t="s">
        <v>22</v>
      </c>
      <c r="AE5" s="10" t="s">
        <v>23</v>
      </c>
      <c r="AH5" s="8" t="s">
        <v>12</v>
      </c>
      <c r="AI5" s="8" t="s">
        <v>9</v>
      </c>
      <c r="AJ5" s="8" t="s">
        <v>8</v>
      </c>
      <c r="AK5" s="8" t="s">
        <v>24</v>
      </c>
      <c r="AL5" s="8" t="s">
        <v>25</v>
      </c>
      <c r="AM5" s="8" t="s">
        <v>26</v>
      </c>
      <c r="AN5" s="8" t="s">
        <v>27</v>
      </c>
      <c r="AO5" s="8" t="s">
        <v>28</v>
      </c>
      <c r="AR5" s="2" t="s">
        <v>29</v>
      </c>
      <c r="AS5" s="2" t="s">
        <v>1</v>
      </c>
      <c r="AT5" s="2" t="s">
        <v>2</v>
      </c>
      <c r="AU5" s="2" t="s">
        <v>3</v>
      </c>
      <c r="AV5" s="2"/>
      <c r="AW5" s="2" t="s">
        <v>29</v>
      </c>
      <c r="AX5" s="2" t="s">
        <v>1</v>
      </c>
      <c r="AY5" s="2" t="s">
        <v>2</v>
      </c>
      <c r="AZ5" s="2" t="s">
        <v>3</v>
      </c>
    </row>
    <row r="6" spans="1:52" x14ac:dyDescent="0.35">
      <c r="A6" s="6">
        <v>22</v>
      </c>
      <c r="B6">
        <v>1</v>
      </c>
      <c r="C6" s="7">
        <v>0</v>
      </c>
      <c r="E6" t="e">
        <f t="array" aca="1" ref="E6:H11" ca="1">LogitSummary(A4:C52)</f>
        <v>#NAME?</v>
      </c>
      <c r="F6" t="e">
        <f ca="1"/>
        <v>#NAME?</v>
      </c>
      <c r="G6" s="11" t="e">
        <f ca="1"/>
        <v>#NAME?</v>
      </c>
      <c r="H6" t="e">
        <f ca="1"/>
        <v>#NAME?</v>
      </c>
      <c r="I6" s="14" t="e">
        <f t="shared" ref="I6:I11" ca="1" si="0">G6+H6</f>
        <v>#NAME?</v>
      </c>
      <c r="J6" t="e">
        <f t="shared" ref="J6:J11" ca="1" si="1">G6/I6</f>
        <v>#NAME?</v>
      </c>
      <c r="K6" t="e">
        <f t="shared" ref="K6:K11" ca="1" si="2">1/(1+EXP(-$R$7-MMULT(E6:F6,$R$8:$R$9)))</f>
        <v>#NAME?</v>
      </c>
      <c r="L6" s="15" t="e">
        <f t="shared" ref="L6:L11" ca="1" si="3">I6*K6</f>
        <v>#NAME?</v>
      </c>
      <c r="M6" s="16" t="e">
        <f t="shared" ref="M6:M11" ca="1" si="4">I6-L6</f>
        <v>#NAME?</v>
      </c>
      <c r="N6" t="e">
        <f t="shared" ref="N6:N11" ca="1" si="5">I6*(J6*LN(K6)+(1-J6)*LN(1-K6))</f>
        <v>#NAME?</v>
      </c>
      <c r="O6" t="e">
        <f t="shared" ref="O6:O11" ca="1" si="6">100*IF(K6&gt;=$AD$12,G6/I6,H6/I6)</f>
        <v>#NAME?</v>
      </c>
      <c r="P6" t="e">
        <f t="shared" ref="P6:P11" ca="1" si="7">(G6-L6)^2/L6+(H6-M6)^2/M6</f>
        <v>#NAME?</v>
      </c>
      <c r="T6" t="s">
        <v>30</v>
      </c>
      <c r="U6" s="17" t="e">
        <f ca="1">N12</f>
        <v>#NAME?</v>
      </c>
      <c r="W6" s="15" t="e">
        <f t="array" aca="1" ref="W6:Y8" ca="1">MINVERSE(MMULT(TRANSPOSE(DEsign(E6:F11)),K6:K11*(1-K6:K11)*I6:I11*DEsign(E6:F11)))</f>
        <v>#NAME?</v>
      </c>
      <c r="X6" s="18" t="e">
        <f ca="1"/>
        <v>#NAME?</v>
      </c>
      <c r="Y6" s="16" t="e">
        <f ca="1"/>
        <v>#NAME?</v>
      </c>
      <c r="AA6" s="9" t="e">
        <f t="array" aca="1" ref="AA6:AA8" ca="1">MMULT(W6:Y8,MMULT(TRANSPOSE(DEsign(E6:F11)),I6:I11*(J6:J11-K6:K11)))</f>
        <v>#NAME?</v>
      </c>
      <c r="AC6" t="s">
        <v>13</v>
      </c>
      <c r="AD6" s="15">
        <f ca="1">SUMIF(K6:K11,"&gt;="&amp;AD12,G6:G11)</f>
        <v>0</v>
      </c>
      <c r="AE6" s="16">
        <f ca="1">SUMIF(K6:K11,"&gt;="&amp;AD12,H6:H11)</f>
        <v>0</v>
      </c>
      <c r="AF6">
        <f ca="1">AD6+AE6</f>
        <v>0</v>
      </c>
      <c r="AK6">
        <v>0</v>
      </c>
      <c r="AL6">
        <v>0</v>
      </c>
      <c r="AM6" t="e">
        <f ca="1">1-AK6/AK$12</f>
        <v>#NAME?</v>
      </c>
      <c r="AN6" t="e">
        <f ca="1">1-AL6/AL$12</f>
        <v>#NAME?</v>
      </c>
      <c r="AO6" t="e">
        <f ca="1">(AM6-AM7)*AN6</f>
        <v>#NAME?</v>
      </c>
      <c r="AR6" s="5">
        <v>1</v>
      </c>
      <c r="AS6" s="3">
        <v>20</v>
      </c>
      <c r="AT6" s="4">
        <v>0</v>
      </c>
      <c r="AU6" s="5">
        <v>1</v>
      </c>
      <c r="AW6" s="3">
        <v>26</v>
      </c>
      <c r="AX6" s="3">
        <v>24</v>
      </c>
      <c r="AY6" s="4">
        <v>0</v>
      </c>
      <c r="AZ6" s="5">
        <v>0</v>
      </c>
    </row>
    <row r="7" spans="1:52" x14ac:dyDescent="0.35">
      <c r="A7" s="6">
        <v>24</v>
      </c>
      <c r="B7">
        <v>0</v>
      </c>
      <c r="C7" s="7">
        <v>0</v>
      </c>
      <c r="E7" t="e">
        <f ca="1"/>
        <v>#NAME?</v>
      </c>
      <c r="F7" t="e">
        <f ca="1"/>
        <v>#NAME?</v>
      </c>
      <c r="G7" s="11" t="e">
        <f ca="1"/>
        <v>#NAME?</v>
      </c>
      <c r="H7" t="e">
        <f ca="1"/>
        <v>#NAME?</v>
      </c>
      <c r="I7" s="14" t="e">
        <f t="shared" ca="1" si="0"/>
        <v>#NAME?</v>
      </c>
      <c r="J7" t="e">
        <f t="shared" ca="1" si="1"/>
        <v>#NAME?</v>
      </c>
      <c r="K7" t="e">
        <f t="shared" ca="1" si="2"/>
        <v>#NAME?</v>
      </c>
      <c r="L7" s="11" t="e">
        <f t="shared" ca="1" si="3"/>
        <v>#NAME?</v>
      </c>
      <c r="M7" s="14" t="e">
        <f t="shared" ca="1" si="4"/>
        <v>#NAME?</v>
      </c>
      <c r="N7" t="e">
        <f t="shared" ca="1" si="5"/>
        <v>#NAME?</v>
      </c>
      <c r="O7" t="e">
        <f t="shared" ca="1" si="6"/>
        <v>#NAME?</v>
      </c>
      <c r="P7" t="e">
        <f t="shared" ca="1" si="7"/>
        <v>#NAME?</v>
      </c>
      <c r="R7" s="9" t="e">
        <f t="array" aca="1" ref="R7:R9" ca="1">LogitCoeff(E6:H11,,,,,20)</f>
        <v>#NAME?</v>
      </c>
      <c r="W7" s="11" t="e">
        <f ca="1"/>
        <v>#NAME?</v>
      </c>
      <c r="X7" t="e">
        <f ca="1"/>
        <v>#NAME?</v>
      </c>
      <c r="Y7" s="14" t="e">
        <f ca="1"/>
        <v>#NAME?</v>
      </c>
      <c r="AA7" s="20" t="e">
        <f ca="1"/>
        <v>#NAME?</v>
      </c>
      <c r="AC7" t="s">
        <v>14</v>
      </c>
      <c r="AD7" s="12" t="e">
        <f ca="1">AD8-AD6</f>
        <v>#NAME?</v>
      </c>
      <c r="AE7" s="19" t="e">
        <f ca="1">AE8-AE6</f>
        <v>#NAME?</v>
      </c>
      <c r="AF7" t="e">
        <f ca="1">AD7+AE7</f>
        <v>#NAME?</v>
      </c>
      <c r="AH7" t="e">
        <f t="array" aca="1" ref="AH7:AJ12" ca="1">SelectCols(G6:K11,"5,2,1",1)</f>
        <v>#NAME?</v>
      </c>
      <c r="AI7" t="e">
        <f ca="1"/>
        <v>#NAME?</v>
      </c>
      <c r="AJ7" t="e">
        <f ca="1"/>
        <v>#NAME?</v>
      </c>
      <c r="AK7" t="e">
        <f t="shared" ref="AK7:AL12" ca="1" si="8">AK6+AI7</f>
        <v>#NAME?</v>
      </c>
      <c r="AL7" t="e">
        <f t="shared" ca="1" si="8"/>
        <v>#NAME?</v>
      </c>
      <c r="AM7" t="e">
        <f t="shared" ref="AM7:AN12" ca="1" si="9">1-AK7/AK$12</f>
        <v>#NAME?</v>
      </c>
      <c r="AN7" t="e">
        <f t="shared" ca="1" si="9"/>
        <v>#NAME?</v>
      </c>
      <c r="AO7" t="e">
        <f t="shared" ref="AO7:AO12" ca="1" si="10">(AM7-AM8)*AN7</f>
        <v>#NAME?</v>
      </c>
      <c r="AR7" s="7">
        <f>AR6+1</f>
        <v>2</v>
      </c>
      <c r="AS7" s="6">
        <v>22</v>
      </c>
      <c r="AT7">
        <v>1</v>
      </c>
      <c r="AU7" s="7">
        <v>1</v>
      </c>
      <c r="AW7" s="6">
        <f>AW6+1</f>
        <v>27</v>
      </c>
      <c r="AX7" s="6">
        <v>22</v>
      </c>
      <c r="AY7">
        <v>0</v>
      </c>
      <c r="AZ7" s="7">
        <v>1</v>
      </c>
    </row>
    <row r="8" spans="1:52" x14ac:dyDescent="0.35">
      <c r="A8" s="6">
        <v>22</v>
      </c>
      <c r="B8">
        <v>0</v>
      </c>
      <c r="C8" s="7">
        <v>1</v>
      </c>
      <c r="E8" t="e">
        <f ca="1"/>
        <v>#NAME?</v>
      </c>
      <c r="F8" t="e">
        <f ca="1"/>
        <v>#NAME?</v>
      </c>
      <c r="G8" s="11" t="e">
        <f ca="1"/>
        <v>#NAME?</v>
      </c>
      <c r="H8" t="e">
        <f ca="1"/>
        <v>#NAME?</v>
      </c>
      <c r="I8" s="14" t="e">
        <f t="shared" ca="1" si="0"/>
        <v>#NAME?</v>
      </c>
      <c r="J8" t="e">
        <f t="shared" ca="1" si="1"/>
        <v>#NAME?</v>
      </c>
      <c r="K8" t="e">
        <f t="shared" ca="1" si="2"/>
        <v>#NAME?</v>
      </c>
      <c r="L8" s="11" t="e">
        <f t="shared" ca="1" si="3"/>
        <v>#NAME?</v>
      </c>
      <c r="M8" s="14" t="e">
        <f t="shared" ca="1" si="4"/>
        <v>#NAME?</v>
      </c>
      <c r="N8" t="e">
        <f t="shared" ca="1" si="5"/>
        <v>#NAME?</v>
      </c>
      <c r="O8" t="e">
        <f t="shared" ca="1" si="6"/>
        <v>#NAME?</v>
      </c>
      <c r="P8" t="e">
        <f t="shared" ca="1" si="7"/>
        <v>#NAME?</v>
      </c>
      <c r="R8" s="20" t="e">
        <f ca="1"/>
        <v>#NAME?</v>
      </c>
      <c r="T8" t="s">
        <v>31</v>
      </c>
      <c r="U8" s="9" t="e">
        <f ca="1">2*(U6-U5)</f>
        <v>#NAME?</v>
      </c>
      <c r="W8" s="12" t="e">
        <f ca="1"/>
        <v>#NAME?</v>
      </c>
      <c r="X8" s="13" t="e">
        <f ca="1"/>
        <v>#NAME?</v>
      </c>
      <c r="Y8" s="19" t="e">
        <f ca="1"/>
        <v>#NAME?</v>
      </c>
      <c r="AA8" s="17" t="e">
        <f ca="1"/>
        <v>#NAME?</v>
      </c>
      <c r="AD8" t="e">
        <f ca="1">G12</f>
        <v>#NAME?</v>
      </c>
      <c r="AE8" t="e">
        <f ca="1">H12</f>
        <v>#NAME?</v>
      </c>
      <c r="AF8" t="e">
        <f ca="1">AD8+AE8</f>
        <v>#NAME?</v>
      </c>
      <c r="AH8" t="e">
        <f ca="1"/>
        <v>#NAME?</v>
      </c>
      <c r="AI8" t="e">
        <f ca="1"/>
        <v>#NAME?</v>
      </c>
      <c r="AJ8" t="e">
        <f ca="1"/>
        <v>#NAME?</v>
      </c>
      <c r="AK8" t="e">
        <f t="shared" ca="1" si="8"/>
        <v>#NAME?</v>
      </c>
      <c r="AL8" t="e">
        <f t="shared" ca="1" si="8"/>
        <v>#NAME?</v>
      </c>
      <c r="AM8" t="e">
        <f t="shared" ca="1" si="9"/>
        <v>#NAME?</v>
      </c>
      <c r="AN8" t="e">
        <f t="shared" ca="1" si="9"/>
        <v>#NAME?</v>
      </c>
      <c r="AO8" t="e">
        <f t="shared" ca="1" si="10"/>
        <v>#NAME?</v>
      </c>
      <c r="AR8" s="7">
        <f t="shared" ref="AR8:AR30" si="11">AR7+1</f>
        <v>3</v>
      </c>
      <c r="AS8" s="6">
        <v>22</v>
      </c>
      <c r="AT8">
        <v>1</v>
      </c>
      <c r="AU8" s="7">
        <v>0</v>
      </c>
      <c r="AW8" s="6">
        <f t="shared" ref="AW8:AW29" si="12">AW7+1</f>
        <v>28</v>
      </c>
      <c r="AX8" s="6">
        <v>24</v>
      </c>
      <c r="AY8">
        <v>1</v>
      </c>
      <c r="AZ8" s="7">
        <v>1</v>
      </c>
    </row>
    <row r="9" spans="1:52" x14ac:dyDescent="0.35">
      <c r="A9" s="6">
        <v>22</v>
      </c>
      <c r="B9">
        <v>1</v>
      </c>
      <c r="C9" s="7">
        <v>0</v>
      </c>
      <c r="E9" t="e">
        <f ca="1"/>
        <v>#NAME?</v>
      </c>
      <c r="F9" t="e">
        <f ca="1"/>
        <v>#NAME?</v>
      </c>
      <c r="G9" s="11" t="e">
        <f ca="1"/>
        <v>#NAME?</v>
      </c>
      <c r="H9" t="e">
        <f ca="1"/>
        <v>#NAME?</v>
      </c>
      <c r="I9" s="14" t="e">
        <f t="shared" ca="1" si="0"/>
        <v>#NAME?</v>
      </c>
      <c r="J9" t="e">
        <f t="shared" ca="1" si="1"/>
        <v>#NAME?</v>
      </c>
      <c r="K9" t="e">
        <f t="shared" ca="1" si="2"/>
        <v>#NAME?</v>
      </c>
      <c r="L9" s="11" t="e">
        <f t="shared" ca="1" si="3"/>
        <v>#NAME?</v>
      </c>
      <c r="M9" s="14" t="e">
        <f t="shared" ca="1" si="4"/>
        <v>#NAME?</v>
      </c>
      <c r="N9" t="e">
        <f t="shared" ca="1" si="5"/>
        <v>#NAME?</v>
      </c>
      <c r="O9" t="e">
        <f t="shared" ca="1" si="6"/>
        <v>#NAME?</v>
      </c>
      <c r="P9" t="e">
        <f t="shared" ca="1" si="7"/>
        <v>#NAME?</v>
      </c>
      <c r="R9" s="17" t="e">
        <f ca="1"/>
        <v>#NAME?</v>
      </c>
      <c r="T9" t="s">
        <v>32</v>
      </c>
      <c r="U9" s="20">
        <f ca="1">COUNT(E6:F6)</f>
        <v>0</v>
      </c>
      <c r="AH9" t="e">
        <f ca="1"/>
        <v>#NAME?</v>
      </c>
      <c r="AI9" t="e">
        <f ca="1"/>
        <v>#NAME?</v>
      </c>
      <c r="AJ9" t="e">
        <f ca="1"/>
        <v>#NAME?</v>
      </c>
      <c r="AK9" t="e">
        <f t="shared" ca="1" si="8"/>
        <v>#NAME?</v>
      </c>
      <c r="AL9" t="e">
        <f t="shared" ca="1" si="8"/>
        <v>#NAME?</v>
      </c>
      <c r="AM9" t="e">
        <f t="shared" ca="1" si="9"/>
        <v>#NAME?</v>
      </c>
      <c r="AN9" t="e">
        <f t="shared" ca="1" si="9"/>
        <v>#NAME?</v>
      </c>
      <c r="AO9" t="e">
        <f t="shared" ca="1" si="10"/>
        <v>#NAME?</v>
      </c>
      <c r="AR9" s="7">
        <f t="shared" si="11"/>
        <v>4</v>
      </c>
      <c r="AS9" s="6">
        <v>24</v>
      </c>
      <c r="AT9">
        <v>0</v>
      </c>
      <c r="AU9" s="7">
        <v>0</v>
      </c>
      <c r="AW9" s="6">
        <f t="shared" si="12"/>
        <v>29</v>
      </c>
      <c r="AX9" s="6">
        <v>24</v>
      </c>
      <c r="AY9">
        <v>0</v>
      </c>
      <c r="AZ9" s="7">
        <v>1</v>
      </c>
    </row>
    <row r="10" spans="1:52" x14ac:dyDescent="0.35">
      <c r="A10" s="6">
        <v>20</v>
      </c>
      <c r="B10">
        <v>1</v>
      </c>
      <c r="C10" s="7">
        <v>0</v>
      </c>
      <c r="E10" t="e">
        <f ca="1"/>
        <v>#NAME?</v>
      </c>
      <c r="F10" t="e">
        <f ca="1"/>
        <v>#NAME?</v>
      </c>
      <c r="G10" s="11" t="e">
        <f ca="1"/>
        <v>#NAME?</v>
      </c>
      <c r="H10" t="e">
        <f ca="1"/>
        <v>#NAME?</v>
      </c>
      <c r="I10" s="14" t="e">
        <f t="shared" ca="1" si="0"/>
        <v>#NAME?</v>
      </c>
      <c r="J10" t="e">
        <f t="shared" ca="1" si="1"/>
        <v>#NAME?</v>
      </c>
      <c r="K10" t="e">
        <f t="shared" ca="1" si="2"/>
        <v>#NAME?</v>
      </c>
      <c r="L10" s="11" t="e">
        <f t="shared" ca="1" si="3"/>
        <v>#NAME?</v>
      </c>
      <c r="M10" s="14" t="e">
        <f t="shared" ca="1" si="4"/>
        <v>#NAME?</v>
      </c>
      <c r="N10" t="e">
        <f t="shared" ca="1" si="5"/>
        <v>#NAME?</v>
      </c>
      <c r="O10" t="e">
        <f t="shared" ca="1" si="6"/>
        <v>#NAME?</v>
      </c>
      <c r="P10" t="e">
        <f t="shared" ca="1" si="7"/>
        <v>#NAME?</v>
      </c>
      <c r="T10" t="s">
        <v>33</v>
      </c>
      <c r="U10" s="20" t="e">
        <f ca="1">CHIDIST(U8,U9)</f>
        <v>#NAME?</v>
      </c>
      <c r="AC10" t="s">
        <v>34</v>
      </c>
      <c r="AD10" s="22" t="e">
        <f ca="1">AD6/AD8</f>
        <v>#NAME?</v>
      </c>
      <c r="AE10" s="23" t="e">
        <f ca="1">AE7/AE8</f>
        <v>#NAME?</v>
      </c>
      <c r="AF10" t="e">
        <f ca="1">(AD6+AE7)/AF8</f>
        <v>#NAME?</v>
      </c>
      <c r="AH10" t="e">
        <f ca="1"/>
        <v>#NAME?</v>
      </c>
      <c r="AI10" t="e">
        <f ca="1"/>
        <v>#NAME?</v>
      </c>
      <c r="AJ10" t="e">
        <f ca="1"/>
        <v>#NAME?</v>
      </c>
      <c r="AK10" t="e">
        <f t="shared" ca="1" si="8"/>
        <v>#NAME?</v>
      </c>
      <c r="AL10" t="e">
        <f t="shared" ca="1" si="8"/>
        <v>#NAME?</v>
      </c>
      <c r="AM10" t="e">
        <f t="shared" ca="1" si="9"/>
        <v>#NAME?</v>
      </c>
      <c r="AN10" t="e">
        <f t="shared" ca="1" si="9"/>
        <v>#NAME?</v>
      </c>
      <c r="AO10" t="e">
        <f t="shared" ca="1" si="10"/>
        <v>#NAME?</v>
      </c>
      <c r="AR10" s="7">
        <f t="shared" si="11"/>
        <v>5</v>
      </c>
      <c r="AS10" s="6">
        <v>22</v>
      </c>
      <c r="AT10">
        <v>0</v>
      </c>
      <c r="AU10" s="7">
        <v>1</v>
      </c>
      <c r="AW10" s="6">
        <f t="shared" si="12"/>
        <v>30</v>
      </c>
      <c r="AX10" s="6">
        <v>22</v>
      </c>
      <c r="AY10">
        <v>1</v>
      </c>
      <c r="AZ10" s="7">
        <v>1</v>
      </c>
    </row>
    <row r="11" spans="1:52" x14ac:dyDescent="0.35">
      <c r="A11" s="6">
        <v>24</v>
      </c>
      <c r="B11">
        <v>1</v>
      </c>
      <c r="C11" s="7">
        <v>0</v>
      </c>
      <c r="E11" t="e">
        <f ca="1"/>
        <v>#NAME?</v>
      </c>
      <c r="F11" t="e">
        <f ca="1"/>
        <v>#NAME?</v>
      </c>
      <c r="G11" s="12" t="e">
        <f ca="1"/>
        <v>#NAME?</v>
      </c>
      <c r="H11" s="13" t="e">
        <f ca="1"/>
        <v>#NAME?</v>
      </c>
      <c r="I11" s="14" t="e">
        <f t="shared" ca="1" si="0"/>
        <v>#NAME?</v>
      </c>
      <c r="J11" t="e">
        <f t="shared" ca="1" si="1"/>
        <v>#NAME?</v>
      </c>
      <c r="K11" t="e">
        <f t="shared" ca="1" si="2"/>
        <v>#NAME?</v>
      </c>
      <c r="L11" s="11" t="e">
        <f t="shared" ca="1" si="3"/>
        <v>#NAME?</v>
      </c>
      <c r="M11" s="14" t="e">
        <f t="shared" ca="1" si="4"/>
        <v>#NAME?</v>
      </c>
      <c r="N11" t="e">
        <f t="shared" ca="1" si="5"/>
        <v>#NAME?</v>
      </c>
      <c r="O11" t="e">
        <f t="shared" ca="1" si="6"/>
        <v>#NAME?</v>
      </c>
      <c r="P11" t="e">
        <f t="shared" ca="1" si="7"/>
        <v>#NAME?</v>
      </c>
      <c r="T11" t="s">
        <v>35</v>
      </c>
      <c r="U11" s="20">
        <v>0.05</v>
      </c>
      <c r="AH11" t="e">
        <f ca="1"/>
        <v>#NAME?</v>
      </c>
      <c r="AI11" t="e">
        <f ca="1"/>
        <v>#NAME?</v>
      </c>
      <c r="AJ11" t="e">
        <f ca="1"/>
        <v>#NAME?</v>
      </c>
      <c r="AK11" t="e">
        <f t="shared" ca="1" si="8"/>
        <v>#NAME?</v>
      </c>
      <c r="AL11" t="e">
        <f t="shared" ca="1" si="8"/>
        <v>#NAME?</v>
      </c>
      <c r="AM11" t="e">
        <f t="shared" ca="1" si="9"/>
        <v>#NAME?</v>
      </c>
      <c r="AN11" t="e">
        <f t="shared" ca="1" si="9"/>
        <v>#NAME?</v>
      </c>
      <c r="AO11" t="e">
        <f t="shared" ca="1" si="10"/>
        <v>#NAME?</v>
      </c>
      <c r="AR11" s="7">
        <f t="shared" si="11"/>
        <v>6</v>
      </c>
      <c r="AS11" s="6">
        <v>22</v>
      </c>
      <c r="AT11">
        <v>1</v>
      </c>
      <c r="AU11" s="7">
        <v>0</v>
      </c>
      <c r="AW11" s="6">
        <f t="shared" si="12"/>
        <v>31</v>
      </c>
      <c r="AX11" s="6">
        <v>22</v>
      </c>
      <c r="AY11">
        <v>0</v>
      </c>
      <c r="AZ11" s="7">
        <v>0</v>
      </c>
    </row>
    <row r="12" spans="1:52" x14ac:dyDescent="0.35">
      <c r="A12" s="6">
        <v>24</v>
      </c>
      <c r="B12">
        <v>0</v>
      </c>
      <c r="C12" s="7">
        <v>0</v>
      </c>
      <c r="E12" s="4"/>
      <c r="F12" s="4"/>
      <c r="G12" s="4" t="e">
        <f ca="1">SUM(G6:G11)</f>
        <v>#NAME?</v>
      </c>
      <c r="H12" s="4" t="e">
        <f ca="1">SUM(H6:H11)</f>
        <v>#NAME?</v>
      </c>
      <c r="I12" s="4" t="e">
        <f ca="1">SUM(I6:I11)</f>
        <v>#NAME?</v>
      </c>
      <c r="J12" s="4"/>
      <c r="K12" s="4"/>
      <c r="L12" s="4" t="e">
        <f ca="1">SUM(L6:L11)</f>
        <v>#NAME?</v>
      </c>
      <c r="M12" s="4" t="e">
        <f ca="1">SUM(M6:M11)</f>
        <v>#NAME?</v>
      </c>
      <c r="N12" s="4" t="e">
        <f ca="1">SUM(N6:N11)</f>
        <v>#NAME?</v>
      </c>
      <c r="O12" s="4" t="e">
        <f ca="1">SUMPRODUCT(O6:O11,I6:I11)/I12</f>
        <v>#NAME?</v>
      </c>
      <c r="P12" s="4" t="e">
        <f ca="1">SUM(P6:P11)</f>
        <v>#NAME?</v>
      </c>
      <c r="T12" t="s">
        <v>36</v>
      </c>
      <c r="U12" s="24" t="e">
        <f ca="1">IF(U10&lt;U11,"yes","no")</f>
        <v>#NAME?</v>
      </c>
      <c r="AC12" t="s">
        <v>37</v>
      </c>
      <c r="AD12" s="25">
        <v>0.5</v>
      </c>
      <c r="AH12" s="21" t="e">
        <f ca="1"/>
        <v>#NAME?</v>
      </c>
      <c r="AI12" s="21" t="e">
        <f ca="1"/>
        <v>#NAME?</v>
      </c>
      <c r="AJ12" s="21" t="e">
        <f ca="1"/>
        <v>#NAME?</v>
      </c>
      <c r="AK12" s="21" t="e">
        <f t="shared" ca="1" si="8"/>
        <v>#NAME?</v>
      </c>
      <c r="AL12" s="21" t="e">
        <f t="shared" ca="1" si="8"/>
        <v>#NAME?</v>
      </c>
      <c r="AM12" s="21" t="e">
        <f t="shared" ca="1" si="9"/>
        <v>#NAME?</v>
      </c>
      <c r="AN12" s="21" t="e">
        <f t="shared" ca="1" si="9"/>
        <v>#NAME?</v>
      </c>
      <c r="AO12" s="21" t="e">
        <f t="shared" ca="1" si="10"/>
        <v>#NAME?</v>
      </c>
      <c r="AR12" s="7">
        <f t="shared" si="11"/>
        <v>7</v>
      </c>
      <c r="AS12" s="6">
        <v>20</v>
      </c>
      <c r="AT12">
        <v>1</v>
      </c>
      <c r="AU12" s="7">
        <v>0</v>
      </c>
      <c r="AW12" s="6">
        <f t="shared" si="12"/>
        <v>32</v>
      </c>
      <c r="AX12" s="6">
        <v>22</v>
      </c>
      <c r="AY12">
        <v>0</v>
      </c>
      <c r="AZ12" s="7">
        <v>1</v>
      </c>
    </row>
    <row r="13" spans="1:52" ht="15" thickBot="1" x14ac:dyDescent="0.4">
      <c r="A13" s="6">
        <v>20</v>
      </c>
      <c r="B13">
        <v>0</v>
      </c>
      <c r="C13" s="7">
        <v>1</v>
      </c>
      <c r="AO13" t="e">
        <f ca="1">SUM(AO6:AO12)</f>
        <v>#NAME?</v>
      </c>
      <c r="AR13" s="7">
        <f t="shared" si="11"/>
        <v>8</v>
      </c>
      <c r="AS13" s="6">
        <v>24</v>
      </c>
      <c r="AT13">
        <v>1</v>
      </c>
      <c r="AU13" s="7">
        <v>0</v>
      </c>
      <c r="AW13" s="6">
        <f t="shared" si="12"/>
        <v>33</v>
      </c>
      <c r="AX13" s="6">
        <v>20</v>
      </c>
      <c r="AY13">
        <v>1</v>
      </c>
      <c r="AZ13" s="7">
        <v>0</v>
      </c>
    </row>
    <row r="14" spans="1:52" ht="15" thickTop="1" x14ac:dyDescent="0.35">
      <c r="A14" s="6">
        <v>20</v>
      </c>
      <c r="B14">
        <v>0</v>
      </c>
      <c r="C14" s="7">
        <v>1</v>
      </c>
      <c r="E14" s="8"/>
      <c r="F14" s="8" t="s">
        <v>38</v>
      </c>
      <c r="G14" s="8" t="s">
        <v>39</v>
      </c>
      <c r="H14" s="8" t="s">
        <v>40</v>
      </c>
      <c r="I14" s="8" t="s">
        <v>33</v>
      </c>
      <c r="J14" s="8" t="s">
        <v>41</v>
      </c>
      <c r="K14" s="8" t="s">
        <v>42</v>
      </c>
      <c r="L14" s="8" t="s">
        <v>43</v>
      </c>
      <c r="T14" t="s">
        <v>44</v>
      </c>
      <c r="U14" s="9" t="e">
        <f ca="1">1-U6/U5</f>
        <v>#NAME?</v>
      </c>
      <c r="AR14" s="7">
        <f t="shared" si="11"/>
        <v>9</v>
      </c>
      <c r="AS14" s="6">
        <v>24</v>
      </c>
      <c r="AT14">
        <v>0</v>
      </c>
      <c r="AU14" s="7">
        <v>0</v>
      </c>
      <c r="AW14" s="6">
        <f t="shared" si="12"/>
        <v>34</v>
      </c>
      <c r="AX14" s="6">
        <v>24</v>
      </c>
      <c r="AY14">
        <v>1</v>
      </c>
      <c r="AZ14" s="7">
        <v>0</v>
      </c>
    </row>
    <row r="15" spans="1:52" x14ac:dyDescent="0.35">
      <c r="A15" s="6">
        <v>22</v>
      </c>
      <c r="B15">
        <v>1</v>
      </c>
      <c r="C15" s="7">
        <v>0</v>
      </c>
      <c r="E15" t="s">
        <v>45</v>
      </c>
      <c r="F15" t="e">
        <f t="array" ref="F15:F17" ca="1">R7:R9</f>
        <v>#NAME?</v>
      </c>
      <c r="G15" t="e">
        <f t="array" aca="1" ref="G15:G17" ca="1">SQRT(DIAG(W6:Y8))</f>
        <v>#NAME?</v>
      </c>
      <c r="H15" t="e">
        <f ca="1">(F15/G15)^2</f>
        <v>#NAME?</v>
      </c>
      <c r="I15" t="e">
        <f ca="1">CHIDIST(H15,1)</f>
        <v>#NAME?</v>
      </c>
      <c r="J15" t="e">
        <f ca="1">EXP(F15)</f>
        <v>#NAME?</v>
      </c>
      <c r="T15" t="s">
        <v>46</v>
      </c>
      <c r="U15" s="20" t="e">
        <f ca="1">1-EXP((-2/I12)*(U6-U5))</f>
        <v>#NAME?</v>
      </c>
      <c r="AR15" s="7">
        <f t="shared" si="11"/>
        <v>10</v>
      </c>
      <c r="AS15" s="6">
        <v>20</v>
      </c>
      <c r="AT15">
        <v>0</v>
      </c>
      <c r="AU15" s="7">
        <v>1</v>
      </c>
      <c r="AW15" s="6">
        <f t="shared" si="12"/>
        <v>35</v>
      </c>
      <c r="AX15" s="6">
        <v>24</v>
      </c>
      <c r="AY15">
        <v>0</v>
      </c>
      <c r="AZ15" s="7">
        <v>0</v>
      </c>
    </row>
    <row r="16" spans="1:52" x14ac:dyDescent="0.35">
      <c r="A16" s="6">
        <v>20</v>
      </c>
      <c r="B16">
        <v>1</v>
      </c>
      <c r="C16" s="7">
        <v>1</v>
      </c>
      <c r="E16" t="str">
        <f t="array" ref="E16:E17">TRANSPOSE(E5:F5)</f>
        <v>Temp</v>
      </c>
      <c r="F16" t="e">
        <f ca="1"/>
        <v>#NAME?</v>
      </c>
      <c r="G16" t="e">
        <f ca="1"/>
        <v>#NAME?</v>
      </c>
      <c r="H16" t="e">
        <f ca="1">(F16/G16)^2</f>
        <v>#NAME?</v>
      </c>
      <c r="I16" t="e">
        <f ca="1">CHIDIST(H16,1)</f>
        <v>#NAME?</v>
      </c>
      <c r="J16" t="e">
        <f ca="1">EXP(F16)</f>
        <v>#NAME?</v>
      </c>
      <c r="K16" t="e">
        <f ca="1">EXP(F16-G16*NORMSINV(1-$U$11/2))</f>
        <v>#NAME?</v>
      </c>
      <c r="L16" t="e">
        <f ca="1">EXP(F16+G16*NORMSINV(1-$U$11/2))</f>
        <v>#NAME?</v>
      </c>
      <c r="T16" t="s">
        <v>47</v>
      </c>
      <c r="U16" s="17" t="e">
        <f ca="1">U15/(1-EXP(2*U5/I12))</f>
        <v>#NAME?</v>
      </c>
      <c r="AR16" s="7">
        <f t="shared" si="11"/>
        <v>11</v>
      </c>
      <c r="AS16" s="6">
        <v>20</v>
      </c>
      <c r="AT16">
        <v>0</v>
      </c>
      <c r="AU16" s="7">
        <v>1</v>
      </c>
      <c r="AW16" s="6">
        <f t="shared" si="12"/>
        <v>36</v>
      </c>
      <c r="AX16" s="6">
        <v>22</v>
      </c>
      <c r="AY16">
        <v>1</v>
      </c>
      <c r="AZ16" s="7">
        <v>1</v>
      </c>
    </row>
    <row r="17" spans="1:52" x14ac:dyDescent="0.35">
      <c r="A17" s="6">
        <v>22</v>
      </c>
      <c r="B17">
        <v>0</v>
      </c>
      <c r="C17" s="7">
        <v>0</v>
      </c>
      <c r="E17" s="21" t="str">
        <v>Water</v>
      </c>
      <c r="F17" s="21" t="e">
        <f ca="1"/>
        <v>#NAME?</v>
      </c>
      <c r="G17" s="21" t="e">
        <f ca="1"/>
        <v>#NAME?</v>
      </c>
      <c r="H17" s="21" t="e">
        <f ca="1">(F17/G17)^2</f>
        <v>#NAME?</v>
      </c>
      <c r="I17" s="21" t="e">
        <f ca="1">CHIDIST(H17,1)</f>
        <v>#NAME?</v>
      </c>
      <c r="J17" s="21" t="e">
        <f ca="1">EXP(F17)</f>
        <v>#NAME?</v>
      </c>
      <c r="K17" s="21" t="e">
        <f ca="1">EXP(F17-G17*NORMSINV(1-$U$11/2))</f>
        <v>#NAME?</v>
      </c>
      <c r="L17" s="21" t="e">
        <f ca="1">EXP(F17+G17*NORMSINV(1-$U$11/2))</f>
        <v>#NAME?</v>
      </c>
      <c r="AR17" s="7">
        <f t="shared" si="11"/>
        <v>12</v>
      </c>
      <c r="AS17" s="6">
        <v>22</v>
      </c>
      <c r="AT17">
        <v>1</v>
      </c>
      <c r="AU17" s="7">
        <v>0</v>
      </c>
      <c r="AW17" s="6">
        <f t="shared" si="12"/>
        <v>37</v>
      </c>
      <c r="AX17" s="6">
        <v>20</v>
      </c>
      <c r="AY17">
        <v>0</v>
      </c>
      <c r="AZ17" s="7">
        <v>1</v>
      </c>
    </row>
    <row r="18" spans="1:52" x14ac:dyDescent="0.35">
      <c r="A18" s="6">
        <v>22</v>
      </c>
      <c r="B18">
        <v>0</v>
      </c>
      <c r="C18" s="7">
        <v>1</v>
      </c>
      <c r="T18" t="s">
        <v>48</v>
      </c>
      <c r="U18" s="9" t="e">
        <f ca="1">P12</f>
        <v>#NAME?</v>
      </c>
      <c r="AR18" s="7">
        <f t="shared" si="11"/>
        <v>13</v>
      </c>
      <c r="AS18" s="6">
        <v>20</v>
      </c>
      <c r="AT18">
        <v>1</v>
      </c>
      <c r="AU18" s="7">
        <v>1</v>
      </c>
      <c r="AW18" s="6">
        <f t="shared" si="12"/>
        <v>38</v>
      </c>
      <c r="AX18" s="6">
        <v>22</v>
      </c>
      <c r="AY18">
        <v>0</v>
      </c>
      <c r="AZ18" s="7">
        <v>0</v>
      </c>
    </row>
    <row r="19" spans="1:52" x14ac:dyDescent="0.35">
      <c r="A19" s="6">
        <v>24</v>
      </c>
      <c r="B19">
        <v>1</v>
      </c>
      <c r="C19" s="7">
        <v>1</v>
      </c>
      <c r="T19" t="s">
        <v>32</v>
      </c>
      <c r="U19" s="20">
        <f ca="1">COUNT(I6:I11)-2</f>
        <v>-2</v>
      </c>
      <c r="AR19" s="7">
        <f t="shared" si="11"/>
        <v>14</v>
      </c>
      <c r="AS19" s="6">
        <v>22</v>
      </c>
      <c r="AT19">
        <v>0</v>
      </c>
      <c r="AU19" s="7">
        <v>0</v>
      </c>
      <c r="AW19" s="6">
        <f t="shared" si="12"/>
        <v>39</v>
      </c>
      <c r="AX19" s="6">
        <v>22</v>
      </c>
      <c r="AY19">
        <v>1</v>
      </c>
      <c r="AZ19" s="7">
        <v>0</v>
      </c>
    </row>
    <row r="20" spans="1:52" x14ac:dyDescent="0.35">
      <c r="A20" s="6">
        <v>24</v>
      </c>
      <c r="B20">
        <v>0</v>
      </c>
      <c r="C20" s="7">
        <v>0</v>
      </c>
      <c r="E20" t="s">
        <v>49</v>
      </c>
      <c r="T20" t="s">
        <v>33</v>
      </c>
      <c r="U20" s="20" t="e">
        <f ca="1">CHIDIST(U18,U19)</f>
        <v>#NAME?</v>
      </c>
      <c r="AR20" s="7">
        <f t="shared" si="11"/>
        <v>15</v>
      </c>
      <c r="AS20" s="6">
        <v>22</v>
      </c>
      <c r="AT20">
        <v>0</v>
      </c>
      <c r="AU20" s="7">
        <v>1</v>
      </c>
      <c r="AW20" s="6">
        <f t="shared" si="12"/>
        <v>40</v>
      </c>
      <c r="AX20" s="6">
        <v>20</v>
      </c>
      <c r="AY20">
        <v>1</v>
      </c>
      <c r="AZ20" s="7">
        <v>1</v>
      </c>
    </row>
    <row r="21" spans="1:52" ht="15" thickBot="1" x14ac:dyDescent="0.4">
      <c r="A21" s="6">
        <v>22</v>
      </c>
      <c r="B21">
        <v>1</v>
      </c>
      <c r="C21" s="7">
        <v>0</v>
      </c>
      <c r="T21" t="s">
        <v>35</v>
      </c>
      <c r="U21" s="20">
        <f>U11</f>
        <v>0.05</v>
      </c>
      <c r="AR21" s="7">
        <f t="shared" si="11"/>
        <v>16</v>
      </c>
      <c r="AS21" s="6">
        <v>24</v>
      </c>
      <c r="AT21">
        <v>1</v>
      </c>
      <c r="AU21" s="7">
        <v>1</v>
      </c>
      <c r="AW21" s="6">
        <f t="shared" si="12"/>
        <v>41</v>
      </c>
      <c r="AX21" s="6">
        <v>20</v>
      </c>
      <c r="AY21">
        <v>1</v>
      </c>
      <c r="AZ21" s="7">
        <v>0</v>
      </c>
    </row>
    <row r="22" spans="1:52" ht="15" thickTop="1" x14ac:dyDescent="0.35">
      <c r="A22" s="6">
        <v>24</v>
      </c>
      <c r="B22">
        <v>1</v>
      </c>
      <c r="C22" s="7">
        <v>0</v>
      </c>
      <c r="E22" s="8" t="s">
        <v>1</v>
      </c>
      <c r="F22" s="8" t="s">
        <v>2</v>
      </c>
      <c r="G22" s="8" t="s">
        <v>3</v>
      </c>
      <c r="H22" s="8" t="s">
        <v>50</v>
      </c>
      <c r="I22" s="8" t="s">
        <v>10</v>
      </c>
      <c r="J22" s="8" t="s">
        <v>11</v>
      </c>
      <c r="K22" s="8" t="s">
        <v>12</v>
      </c>
      <c r="T22" t="s">
        <v>36</v>
      </c>
      <c r="U22" s="24" t="e">
        <f ca="1">IF(U20&lt;U21,"yes","no")</f>
        <v>#NAME?</v>
      </c>
      <c r="AR22" s="7">
        <f t="shared" si="11"/>
        <v>17</v>
      </c>
      <c r="AS22" s="6">
        <v>24</v>
      </c>
      <c r="AT22">
        <v>0</v>
      </c>
      <c r="AU22" s="7">
        <v>0</v>
      </c>
      <c r="AW22" s="6">
        <f t="shared" si="12"/>
        <v>42</v>
      </c>
      <c r="AX22" s="6">
        <v>22</v>
      </c>
      <c r="AY22">
        <v>1</v>
      </c>
      <c r="AZ22" s="7">
        <v>1</v>
      </c>
    </row>
    <row r="23" spans="1:52" x14ac:dyDescent="0.35">
      <c r="A23" s="6">
        <v>20</v>
      </c>
      <c r="B23">
        <v>0</v>
      </c>
      <c r="C23" s="7">
        <v>0</v>
      </c>
      <c r="E23">
        <v>22</v>
      </c>
      <c r="F23">
        <v>0</v>
      </c>
      <c r="K23" t="e">
        <f ca="1">1/(1+EXP(-$R$7-MMULT(E23:F23,$R$8:$R$9)))</f>
        <v>#NAME?</v>
      </c>
      <c r="AR23" s="7">
        <f t="shared" si="11"/>
        <v>18</v>
      </c>
      <c r="AS23" s="6">
        <v>22</v>
      </c>
      <c r="AT23">
        <v>1</v>
      </c>
      <c r="AU23" s="7">
        <v>0</v>
      </c>
      <c r="AW23" s="6">
        <f t="shared" si="12"/>
        <v>43</v>
      </c>
      <c r="AX23" s="6">
        <v>24</v>
      </c>
      <c r="AY23">
        <v>0</v>
      </c>
      <c r="AZ23" s="7">
        <v>1</v>
      </c>
    </row>
    <row r="24" spans="1:52" x14ac:dyDescent="0.35">
      <c r="A24" s="6">
        <v>20</v>
      </c>
      <c r="B24">
        <v>1</v>
      </c>
      <c r="C24" s="7">
        <v>0</v>
      </c>
      <c r="E24" s="21">
        <v>22</v>
      </c>
      <c r="F24" s="21">
        <v>1</v>
      </c>
      <c r="G24" s="21"/>
      <c r="H24" s="21"/>
      <c r="I24" s="21"/>
      <c r="J24" s="21"/>
      <c r="K24" s="21" t="e">
        <f ca="1">1/(1+EXP(-$R$7-MMULT(E24:F24,$R$8:$R$9)))</f>
        <v>#NAME?</v>
      </c>
      <c r="AR24" s="7">
        <f t="shared" si="11"/>
        <v>19</v>
      </c>
      <c r="AS24" s="6">
        <v>24</v>
      </c>
      <c r="AT24">
        <v>1</v>
      </c>
      <c r="AU24" s="7">
        <v>0</v>
      </c>
      <c r="AW24" s="6">
        <f t="shared" si="12"/>
        <v>44</v>
      </c>
      <c r="AX24" s="6">
        <v>20</v>
      </c>
      <c r="AY24">
        <v>1</v>
      </c>
      <c r="AZ24" s="7">
        <v>1</v>
      </c>
    </row>
    <row r="25" spans="1:52" x14ac:dyDescent="0.35">
      <c r="A25" s="6">
        <v>20</v>
      </c>
      <c r="B25">
        <v>0</v>
      </c>
      <c r="C25" s="7">
        <v>1</v>
      </c>
      <c r="AR25" s="7">
        <f t="shared" si="11"/>
        <v>20</v>
      </c>
      <c r="AS25" s="6">
        <v>20</v>
      </c>
      <c r="AT25">
        <v>0</v>
      </c>
      <c r="AU25" s="7">
        <v>0</v>
      </c>
      <c r="AW25" s="6">
        <f t="shared" si="12"/>
        <v>45</v>
      </c>
      <c r="AX25" s="6">
        <v>20</v>
      </c>
      <c r="AY25">
        <v>0</v>
      </c>
      <c r="AZ25" s="7">
        <v>1</v>
      </c>
    </row>
    <row r="26" spans="1:52" x14ac:dyDescent="0.35">
      <c r="A26" s="6">
        <v>20</v>
      </c>
      <c r="B26">
        <v>1</v>
      </c>
      <c r="C26" s="7">
        <v>1</v>
      </c>
      <c r="E26" t="s">
        <v>49</v>
      </c>
      <c r="AR26" s="7">
        <f t="shared" si="11"/>
        <v>21</v>
      </c>
      <c r="AS26" s="6">
        <v>20</v>
      </c>
      <c r="AT26">
        <v>1</v>
      </c>
      <c r="AU26" s="7">
        <v>0</v>
      </c>
      <c r="AW26" s="6">
        <f t="shared" si="12"/>
        <v>46</v>
      </c>
      <c r="AX26" s="6">
        <v>24</v>
      </c>
      <c r="AY26">
        <v>1</v>
      </c>
      <c r="AZ26" s="7">
        <v>0</v>
      </c>
    </row>
    <row r="27" spans="1:52" ht="15" thickBot="1" x14ac:dyDescent="0.4">
      <c r="A27" s="6">
        <v>20</v>
      </c>
      <c r="B27">
        <v>1</v>
      </c>
      <c r="C27" s="7">
        <v>1</v>
      </c>
      <c r="AR27" s="7">
        <f t="shared" si="11"/>
        <v>22</v>
      </c>
      <c r="AS27" s="6">
        <v>20</v>
      </c>
      <c r="AT27">
        <v>0</v>
      </c>
      <c r="AU27" s="7">
        <v>1</v>
      </c>
      <c r="AW27" s="6">
        <f t="shared" si="12"/>
        <v>47</v>
      </c>
      <c r="AX27" s="6">
        <v>24</v>
      </c>
      <c r="AY27">
        <v>1</v>
      </c>
      <c r="AZ27" s="7">
        <v>0</v>
      </c>
    </row>
    <row r="28" spans="1:52" ht="15" thickTop="1" x14ac:dyDescent="0.35">
      <c r="A28" s="6">
        <v>20</v>
      </c>
      <c r="B28">
        <v>0</v>
      </c>
      <c r="C28" s="7">
        <v>1</v>
      </c>
      <c r="E28" s="8" t="s">
        <v>1</v>
      </c>
      <c r="F28" s="8" t="s">
        <v>2</v>
      </c>
      <c r="G28" s="8" t="s">
        <v>12</v>
      </c>
      <c r="AR28" s="7">
        <f t="shared" si="11"/>
        <v>23</v>
      </c>
      <c r="AS28" s="6">
        <v>20</v>
      </c>
      <c r="AT28">
        <v>1</v>
      </c>
      <c r="AU28" s="7">
        <v>1</v>
      </c>
      <c r="AW28" s="6">
        <f t="shared" si="12"/>
        <v>48</v>
      </c>
      <c r="AX28" s="6">
        <v>22</v>
      </c>
      <c r="AY28">
        <v>0</v>
      </c>
      <c r="AZ28" s="7">
        <v>1</v>
      </c>
    </row>
    <row r="29" spans="1:52" x14ac:dyDescent="0.35">
      <c r="A29" s="6">
        <v>24</v>
      </c>
      <c r="B29">
        <v>0</v>
      </c>
      <c r="C29" s="7">
        <v>0</v>
      </c>
      <c r="E29">
        <v>23</v>
      </c>
      <c r="F29">
        <v>0</v>
      </c>
      <c r="G29" t="e">
        <f ca="1">1/(1+EXP(-$P$7-MMULT(A29:B29,$P$8:$P$9)))</f>
        <v>#NAME?</v>
      </c>
      <c r="AR29" s="7">
        <f t="shared" si="11"/>
        <v>24</v>
      </c>
      <c r="AS29" s="6">
        <v>20</v>
      </c>
      <c r="AT29">
        <v>1</v>
      </c>
      <c r="AU29" s="7">
        <v>1</v>
      </c>
      <c r="AW29" s="26">
        <f t="shared" si="12"/>
        <v>49</v>
      </c>
      <c r="AX29" s="26">
        <v>24</v>
      </c>
      <c r="AY29" s="21">
        <v>1</v>
      </c>
      <c r="AZ29" s="27">
        <v>0</v>
      </c>
    </row>
    <row r="30" spans="1:52" x14ac:dyDescent="0.35">
      <c r="A30" s="6">
        <v>22</v>
      </c>
      <c r="B30">
        <v>0</v>
      </c>
      <c r="C30" s="7">
        <v>1</v>
      </c>
      <c r="E30" s="21">
        <v>23</v>
      </c>
      <c r="F30" s="21">
        <v>1</v>
      </c>
      <c r="G30" s="21" t="e">
        <f ca="1">1/(1+EXP(-$P$7-MMULT(E30:F30,$P$8:$P$9)))</f>
        <v>#NAME?</v>
      </c>
      <c r="AR30" s="27">
        <f t="shared" si="11"/>
        <v>25</v>
      </c>
      <c r="AS30" s="26">
        <v>20</v>
      </c>
      <c r="AT30" s="21">
        <v>0</v>
      </c>
      <c r="AU30" s="27">
        <v>1</v>
      </c>
    </row>
    <row r="31" spans="1:52" x14ac:dyDescent="0.35">
      <c r="A31" s="6">
        <v>24</v>
      </c>
      <c r="B31">
        <v>1</v>
      </c>
      <c r="C31" s="7">
        <v>1</v>
      </c>
    </row>
    <row r="32" spans="1:52" x14ac:dyDescent="0.35">
      <c r="A32" s="6">
        <v>24</v>
      </c>
      <c r="B32">
        <v>0</v>
      </c>
      <c r="C32" s="7">
        <v>1</v>
      </c>
      <c r="E32" t="s">
        <v>51</v>
      </c>
    </row>
    <row r="33" spans="1:16" x14ac:dyDescent="0.35">
      <c r="A33" s="6">
        <v>22</v>
      </c>
      <c r="B33">
        <v>1</v>
      </c>
      <c r="C33" s="7">
        <v>1</v>
      </c>
    </row>
    <row r="34" spans="1:16" x14ac:dyDescent="0.35">
      <c r="A34" s="6">
        <v>22</v>
      </c>
      <c r="B34">
        <v>0</v>
      </c>
      <c r="C34" s="7">
        <v>0</v>
      </c>
      <c r="E34" s="28" t="s">
        <v>52</v>
      </c>
      <c r="N34" s="28" t="s">
        <v>53</v>
      </c>
    </row>
    <row r="35" spans="1:16" x14ac:dyDescent="0.35">
      <c r="A35" s="6">
        <v>22</v>
      </c>
      <c r="B35">
        <v>0</v>
      </c>
      <c r="C35" s="7">
        <v>1</v>
      </c>
    </row>
    <row r="36" spans="1:16" x14ac:dyDescent="0.35">
      <c r="A36" s="6">
        <v>20</v>
      </c>
      <c r="B36">
        <v>1</v>
      </c>
      <c r="C36" s="7">
        <v>0</v>
      </c>
      <c r="E36" t="e">
        <f t="array" aca="1" ref="E36:L39" ca="1">LogitCoeff(A3:C52,TRUE,TRUE,TRUE)</f>
        <v>#NAME?</v>
      </c>
      <c r="F36" t="e">
        <f ca="1"/>
        <v>#NAME?</v>
      </c>
      <c r="G36" t="e">
        <f ca="1"/>
        <v>#NAME?</v>
      </c>
      <c r="H36" t="e">
        <f ca="1"/>
        <v>#NAME?</v>
      </c>
      <c r="I36" t="e">
        <f ca="1"/>
        <v>#NAME?</v>
      </c>
      <c r="J36" t="e">
        <f ca="1"/>
        <v>#NAME?</v>
      </c>
      <c r="K36" t="e">
        <f ca="1"/>
        <v>#NAME?</v>
      </c>
      <c r="L36" t="e">
        <f ca="1"/>
        <v>#NAME?</v>
      </c>
      <c r="N36" t="s">
        <v>1</v>
      </c>
      <c r="O36" t="s">
        <v>2</v>
      </c>
      <c r="P36" t="s">
        <v>12</v>
      </c>
    </row>
    <row r="37" spans="1:16" x14ac:dyDescent="0.35">
      <c r="A37" s="6">
        <v>24</v>
      </c>
      <c r="B37">
        <v>1</v>
      </c>
      <c r="C37" s="7">
        <v>0</v>
      </c>
      <c r="E37" t="e">
        <f ca="1"/>
        <v>#NAME?</v>
      </c>
      <c r="F37" s="3" t="e">
        <f ca="1"/>
        <v>#NAME?</v>
      </c>
      <c r="G37" s="4" t="e">
        <f ca="1"/>
        <v>#NAME?</v>
      </c>
      <c r="H37" s="4" t="e">
        <f ca="1"/>
        <v>#NAME?</v>
      </c>
      <c r="I37" s="4" t="e">
        <f ca="1"/>
        <v>#NAME?</v>
      </c>
      <c r="J37" s="4" t="e">
        <f ca="1"/>
        <v>#NAME?</v>
      </c>
      <c r="K37" s="4" t="e">
        <f ca="1"/>
        <v>#NAME?</v>
      </c>
      <c r="L37" s="29" t="e">
        <f ca="1"/>
        <v>#NAME?</v>
      </c>
      <c r="N37" s="3">
        <v>22</v>
      </c>
      <c r="O37" s="4">
        <v>0</v>
      </c>
      <c r="P37" s="29" t="e">
        <f ca="1">LogitPred(N37:O37,$A$4:$C$52,TRUE)</f>
        <v>#NAME?</v>
      </c>
    </row>
    <row r="38" spans="1:16" x14ac:dyDescent="0.35">
      <c r="A38" s="6">
        <v>24</v>
      </c>
      <c r="B38">
        <v>0</v>
      </c>
      <c r="C38" s="7">
        <v>0</v>
      </c>
      <c r="E38" t="e">
        <f ca="1"/>
        <v>#NAME?</v>
      </c>
      <c r="F38" s="6" t="e">
        <f ca="1"/>
        <v>#NAME?</v>
      </c>
      <c r="G38" t="e">
        <f ca="1"/>
        <v>#NAME?</v>
      </c>
      <c r="H38" t="e">
        <f ca="1"/>
        <v>#NAME?</v>
      </c>
      <c r="I38" t="e">
        <f ca="1"/>
        <v>#NAME?</v>
      </c>
      <c r="J38" t="e">
        <f ca="1"/>
        <v>#NAME?</v>
      </c>
      <c r="K38" t="e">
        <f ca="1"/>
        <v>#NAME?</v>
      </c>
      <c r="L38" s="30" t="e">
        <f ca="1"/>
        <v>#NAME?</v>
      </c>
      <c r="N38" s="26">
        <v>23</v>
      </c>
      <c r="O38" s="21">
        <v>1</v>
      </c>
      <c r="P38" s="31" t="e">
        <f ca="1">LogitPred(N38:O38,$A$4:$C$52,TRUE)</f>
        <v>#NAME?</v>
      </c>
    </row>
    <row r="39" spans="1:16" x14ac:dyDescent="0.35">
      <c r="A39" s="6">
        <v>22</v>
      </c>
      <c r="B39">
        <v>1</v>
      </c>
      <c r="C39" s="7">
        <v>1</v>
      </c>
      <c r="E39" t="e">
        <f ca="1"/>
        <v>#NAME?</v>
      </c>
      <c r="F39" s="26" t="e">
        <f ca="1"/>
        <v>#NAME?</v>
      </c>
      <c r="G39" s="21" t="e">
        <f ca="1"/>
        <v>#NAME?</v>
      </c>
      <c r="H39" s="21" t="e">
        <f ca="1"/>
        <v>#NAME?</v>
      </c>
      <c r="I39" s="21" t="e">
        <f ca="1"/>
        <v>#NAME?</v>
      </c>
      <c r="J39" s="21" t="e">
        <f ca="1"/>
        <v>#NAME?</v>
      </c>
      <c r="K39" s="21" t="e">
        <f ca="1"/>
        <v>#NAME?</v>
      </c>
      <c r="L39" s="31" t="e">
        <f ca="1"/>
        <v>#NAME?</v>
      </c>
    </row>
    <row r="40" spans="1:16" x14ac:dyDescent="0.35">
      <c r="A40" s="6">
        <v>20</v>
      </c>
      <c r="B40">
        <v>0</v>
      </c>
      <c r="C40" s="7">
        <v>1</v>
      </c>
      <c r="N40" s="28" t="s">
        <v>54</v>
      </c>
    </row>
    <row r="41" spans="1:16" x14ac:dyDescent="0.35">
      <c r="A41" s="6">
        <v>22</v>
      </c>
      <c r="B41">
        <v>0</v>
      </c>
      <c r="C41" s="7">
        <v>0</v>
      </c>
      <c r="E41" s="28" t="s">
        <v>55</v>
      </c>
      <c r="I41" s="28" t="s">
        <v>56</v>
      </c>
    </row>
    <row r="42" spans="1:16" x14ac:dyDescent="0.35">
      <c r="A42" s="6">
        <v>22</v>
      </c>
      <c r="B42">
        <v>1</v>
      </c>
      <c r="C42" s="7">
        <v>0</v>
      </c>
      <c r="N42" t="s">
        <v>1</v>
      </c>
      <c r="O42" t="s">
        <v>2</v>
      </c>
      <c r="P42" t="s">
        <v>12</v>
      </c>
    </row>
    <row r="43" spans="1:16" x14ac:dyDescent="0.35">
      <c r="A43" s="6">
        <v>20</v>
      </c>
      <c r="B43">
        <v>1</v>
      </c>
      <c r="C43" s="7">
        <v>1</v>
      </c>
      <c r="E43" t="e">
        <f t="array" aca="1" ref="E43:F47" ca="1">LogitTest(A4:C52,TRUE,TRUE)</f>
        <v>#NAME?</v>
      </c>
      <c r="F43" s="5" t="e">
        <f ca="1"/>
        <v>#NAME?</v>
      </c>
      <c r="I43" s="2" t="s">
        <v>1</v>
      </c>
      <c r="J43" s="2" t="s">
        <v>2</v>
      </c>
      <c r="K43" s="2" t="s">
        <v>3</v>
      </c>
      <c r="L43" s="2" t="s">
        <v>50</v>
      </c>
      <c r="N43" s="3">
        <v>22</v>
      </c>
      <c r="O43" s="4">
        <v>0</v>
      </c>
      <c r="P43" s="29" t="e">
        <f ca="1">LogitPredC(N43:O43,$F$37:$F$39)</f>
        <v>#NAME?</v>
      </c>
    </row>
    <row r="44" spans="1:16" x14ac:dyDescent="0.35">
      <c r="A44" s="6">
        <v>20</v>
      </c>
      <c r="B44">
        <v>1</v>
      </c>
      <c r="C44" s="7">
        <v>0</v>
      </c>
      <c r="E44" t="e">
        <f ca="1"/>
        <v>#NAME?</v>
      </c>
      <c r="F44" s="7" t="e">
        <f ca="1"/>
        <v>#NAME?</v>
      </c>
      <c r="I44" s="3" t="e">
        <f t="array" aca="1" ref="I44:L49" ca="1">LogitSummary(A4:C52)</f>
        <v>#NAME?</v>
      </c>
      <c r="J44" s="4" t="e">
        <f ca="1"/>
        <v>#NAME?</v>
      </c>
      <c r="K44" s="4" t="e">
        <f ca="1"/>
        <v>#NAME?</v>
      </c>
      <c r="L44" s="29" t="e">
        <f ca="1"/>
        <v>#NAME?</v>
      </c>
      <c r="N44" s="26">
        <v>23</v>
      </c>
      <c r="O44" s="21">
        <v>1</v>
      </c>
      <c r="P44" s="31" t="e">
        <f ca="1">LogitPredC(N44:O44,$F$37:$F$39)</f>
        <v>#NAME?</v>
      </c>
    </row>
    <row r="45" spans="1:16" x14ac:dyDescent="0.35">
      <c r="A45" s="6">
        <v>22</v>
      </c>
      <c r="B45">
        <v>1</v>
      </c>
      <c r="C45" s="7">
        <v>1</v>
      </c>
      <c r="E45" t="e">
        <f ca="1"/>
        <v>#NAME?</v>
      </c>
      <c r="F45" s="7" t="e">
        <f ca="1"/>
        <v>#NAME?</v>
      </c>
      <c r="I45" s="6" t="e">
        <f ca="1"/>
        <v>#NAME?</v>
      </c>
      <c r="J45" t="e">
        <f ca="1"/>
        <v>#NAME?</v>
      </c>
      <c r="K45" t="e">
        <f ca="1"/>
        <v>#NAME?</v>
      </c>
      <c r="L45" s="30" t="e">
        <f ca="1"/>
        <v>#NAME?</v>
      </c>
    </row>
    <row r="46" spans="1:16" x14ac:dyDescent="0.35">
      <c r="A46" s="6">
        <v>24</v>
      </c>
      <c r="B46">
        <v>0</v>
      </c>
      <c r="C46" s="7">
        <v>1</v>
      </c>
      <c r="E46" t="e">
        <f ca="1"/>
        <v>#NAME?</v>
      </c>
      <c r="F46" s="7" t="e">
        <f ca="1"/>
        <v>#NAME?</v>
      </c>
      <c r="I46" s="6" t="e">
        <f ca="1"/>
        <v>#NAME?</v>
      </c>
      <c r="J46" t="e">
        <f ca="1"/>
        <v>#NAME?</v>
      </c>
      <c r="K46" t="e">
        <f ca="1"/>
        <v>#NAME?</v>
      </c>
      <c r="L46" s="30" t="e">
        <f ca="1"/>
        <v>#NAME?</v>
      </c>
      <c r="N46" s="28" t="s">
        <v>57</v>
      </c>
    </row>
    <row r="47" spans="1:16" x14ac:dyDescent="0.35">
      <c r="A47" s="6">
        <v>20</v>
      </c>
      <c r="B47">
        <v>1</v>
      </c>
      <c r="C47" s="7">
        <v>1</v>
      </c>
      <c r="E47" t="e">
        <f ca="1"/>
        <v>#NAME?</v>
      </c>
      <c r="F47" s="27" t="e">
        <f ca="1"/>
        <v>#NAME?</v>
      </c>
      <c r="I47" s="6" t="e">
        <f ca="1"/>
        <v>#NAME?</v>
      </c>
      <c r="J47" t="e">
        <f ca="1"/>
        <v>#NAME?</v>
      </c>
      <c r="K47" t="e">
        <f ca="1"/>
        <v>#NAME?</v>
      </c>
      <c r="L47" s="30" t="e">
        <f ca="1"/>
        <v>#NAME?</v>
      </c>
    </row>
    <row r="48" spans="1:16" x14ac:dyDescent="0.35">
      <c r="A48" s="6">
        <v>20</v>
      </c>
      <c r="B48">
        <v>0</v>
      </c>
      <c r="C48" s="7">
        <v>1</v>
      </c>
      <c r="I48" s="6" t="e">
        <f ca="1"/>
        <v>#NAME?</v>
      </c>
      <c r="J48" t="e">
        <f ca="1"/>
        <v>#NAME?</v>
      </c>
      <c r="K48" t="e">
        <f ca="1"/>
        <v>#NAME?</v>
      </c>
      <c r="L48" s="30" t="e">
        <f ca="1"/>
        <v>#NAME?</v>
      </c>
      <c r="N48" t="s">
        <v>1</v>
      </c>
      <c r="O48" t="s">
        <v>2</v>
      </c>
      <c r="P48" t="s">
        <v>12</v>
      </c>
    </row>
    <row r="49" spans="1:16" x14ac:dyDescent="0.35">
      <c r="A49" s="6">
        <v>24</v>
      </c>
      <c r="B49">
        <v>1</v>
      </c>
      <c r="C49" s="7">
        <v>0</v>
      </c>
      <c r="I49" s="26" t="e">
        <f ca="1"/>
        <v>#NAME?</v>
      </c>
      <c r="J49" s="21" t="e">
        <f ca="1"/>
        <v>#NAME?</v>
      </c>
      <c r="K49" s="21" t="e">
        <f ca="1"/>
        <v>#NAME?</v>
      </c>
      <c r="L49" s="31" t="e">
        <f ca="1"/>
        <v>#NAME?</v>
      </c>
      <c r="N49" s="3">
        <v>22</v>
      </c>
      <c r="O49" s="4">
        <v>0</v>
      </c>
      <c r="P49" s="29" t="e">
        <f ca="1">LogitPred(N49:O49,$E$6:$H$11)</f>
        <v>#NAME?</v>
      </c>
    </row>
    <row r="50" spans="1:16" x14ac:dyDescent="0.35">
      <c r="A50" s="6">
        <v>24</v>
      </c>
      <c r="B50">
        <v>1</v>
      </c>
      <c r="C50" s="7">
        <v>0</v>
      </c>
      <c r="N50" s="26">
        <v>23</v>
      </c>
      <c r="O50" s="21">
        <v>1</v>
      </c>
      <c r="P50" s="31" t="e">
        <f ca="1">LogitPred(N50:O50,$E$6:$H$11)</f>
        <v>#NAME?</v>
      </c>
    </row>
    <row r="51" spans="1:16" x14ac:dyDescent="0.35">
      <c r="A51" s="6">
        <v>22</v>
      </c>
      <c r="B51">
        <v>0</v>
      </c>
      <c r="C51" s="7">
        <v>1</v>
      </c>
    </row>
    <row r="52" spans="1:16" x14ac:dyDescent="0.35">
      <c r="A52" s="26">
        <v>24</v>
      </c>
      <c r="B52" s="21">
        <v>1</v>
      </c>
      <c r="C52" s="27">
        <v>0</v>
      </c>
      <c r="I52" s="28" t="s">
        <v>58</v>
      </c>
    </row>
    <row r="54" spans="1:16" x14ac:dyDescent="0.35">
      <c r="I54" t="e">
        <f t="array" aca="1" ref="I54:L60" ca="1">LogitSummary(A3:C52,TRUE)</f>
        <v>#NAME?</v>
      </c>
      <c r="J54" t="e">
        <f ca="1"/>
        <v>#NAME?</v>
      </c>
      <c r="K54" t="e">
        <f ca="1"/>
        <v>#NAME?</v>
      </c>
      <c r="L54" t="e">
        <f ca="1"/>
        <v>#NAME?</v>
      </c>
    </row>
    <row r="55" spans="1:16" x14ac:dyDescent="0.35">
      <c r="I55" s="3" t="e">
        <f ca="1"/>
        <v>#NAME?</v>
      </c>
      <c r="J55" s="4" t="e">
        <f ca="1"/>
        <v>#NAME?</v>
      </c>
      <c r="K55" s="4" t="e">
        <f ca="1"/>
        <v>#NAME?</v>
      </c>
      <c r="L55" s="29" t="e">
        <f ca="1"/>
        <v>#NAME?</v>
      </c>
    </row>
    <row r="56" spans="1:16" x14ac:dyDescent="0.35">
      <c r="I56" s="6" t="e">
        <f ca="1"/>
        <v>#NAME?</v>
      </c>
      <c r="J56" t="e">
        <f ca="1"/>
        <v>#NAME?</v>
      </c>
      <c r="K56" t="e">
        <f ca="1"/>
        <v>#NAME?</v>
      </c>
      <c r="L56" s="30" t="e">
        <f ca="1"/>
        <v>#NAME?</v>
      </c>
    </row>
    <row r="57" spans="1:16" x14ac:dyDescent="0.35">
      <c r="I57" s="6" t="e">
        <f ca="1"/>
        <v>#NAME?</v>
      </c>
      <c r="J57" t="e">
        <f ca="1"/>
        <v>#NAME?</v>
      </c>
      <c r="K57" t="e">
        <f ca="1"/>
        <v>#NAME?</v>
      </c>
      <c r="L57" s="30" t="e">
        <f ca="1"/>
        <v>#NAME?</v>
      </c>
    </row>
    <row r="58" spans="1:16" x14ac:dyDescent="0.35">
      <c r="I58" s="6" t="e">
        <f ca="1"/>
        <v>#NAME?</v>
      </c>
      <c r="J58" t="e">
        <f ca="1"/>
        <v>#NAME?</v>
      </c>
      <c r="K58" t="e">
        <f ca="1"/>
        <v>#NAME?</v>
      </c>
      <c r="L58" s="30" t="e">
        <f ca="1"/>
        <v>#NAME?</v>
      </c>
    </row>
    <row r="59" spans="1:16" x14ac:dyDescent="0.35">
      <c r="I59" s="6" t="e">
        <f ca="1"/>
        <v>#NAME?</v>
      </c>
      <c r="J59" t="e">
        <f ca="1"/>
        <v>#NAME?</v>
      </c>
      <c r="K59" t="e">
        <f ca="1"/>
        <v>#NAME?</v>
      </c>
      <c r="L59" s="30" t="e">
        <f ca="1"/>
        <v>#NAME?</v>
      </c>
    </row>
    <row r="60" spans="1:16" x14ac:dyDescent="0.35">
      <c r="I60" s="26" t="e">
        <f ca="1"/>
        <v>#NAME?</v>
      </c>
      <c r="J60" s="21" t="e">
        <f ca="1"/>
        <v>#NAME?</v>
      </c>
      <c r="K60" s="21" t="e">
        <f ca="1"/>
        <v>#NAME?</v>
      </c>
      <c r="L60" s="31" t="e">
        <f ca="1"/>
        <v>#NAME?</v>
      </c>
    </row>
    <row r="62" spans="1:16" x14ac:dyDescent="0.35">
      <c r="E62" s="28" t="s">
        <v>59</v>
      </c>
    </row>
    <row r="64" spans="1:16" x14ac:dyDescent="0.35">
      <c r="E64" t="e">
        <f t="array" aca="1" ref="E64:L67" ca="1">LogitCoeff(A4:C52,TRUE,TRUE)</f>
        <v>#NAME?</v>
      </c>
      <c r="F64" t="e">
        <f ca="1"/>
        <v>#NAME?</v>
      </c>
      <c r="G64" t="e">
        <f ca="1"/>
        <v>#NAME?</v>
      </c>
      <c r="H64" t="e">
        <f ca="1"/>
        <v>#NAME?</v>
      </c>
      <c r="I64" t="e">
        <f ca="1"/>
        <v>#NAME?</v>
      </c>
      <c r="J64" t="e">
        <f ca="1"/>
        <v>#NAME?</v>
      </c>
      <c r="K64" t="e">
        <f ca="1"/>
        <v>#NAME?</v>
      </c>
      <c r="L64" t="e">
        <f ca="1"/>
        <v>#NAME?</v>
      </c>
    </row>
    <row r="65" spans="5:12" x14ac:dyDescent="0.35">
      <c r="E65" t="e">
        <f ca="1"/>
        <v>#NAME?</v>
      </c>
      <c r="F65" s="3" t="e">
        <f ca="1"/>
        <v>#NAME?</v>
      </c>
      <c r="G65" s="4" t="e">
        <f ca="1"/>
        <v>#NAME?</v>
      </c>
      <c r="H65" s="4" t="e">
        <f ca="1"/>
        <v>#NAME?</v>
      </c>
      <c r="I65" s="4" t="e">
        <f ca="1"/>
        <v>#NAME?</v>
      </c>
      <c r="J65" s="4" t="e">
        <f ca="1"/>
        <v>#NAME?</v>
      </c>
      <c r="K65" s="4" t="e">
        <f ca="1"/>
        <v>#NAME?</v>
      </c>
      <c r="L65" s="29" t="e">
        <f ca="1"/>
        <v>#NAME?</v>
      </c>
    </row>
    <row r="66" spans="5:12" x14ac:dyDescent="0.35">
      <c r="E66" t="e">
        <f ca="1"/>
        <v>#NAME?</v>
      </c>
      <c r="F66" s="6" t="e">
        <f ca="1"/>
        <v>#NAME?</v>
      </c>
      <c r="G66" t="e">
        <f ca="1"/>
        <v>#NAME?</v>
      </c>
      <c r="H66" t="e">
        <f ca="1"/>
        <v>#NAME?</v>
      </c>
      <c r="I66" t="e">
        <f ca="1"/>
        <v>#NAME?</v>
      </c>
      <c r="J66" t="e">
        <f ca="1"/>
        <v>#NAME?</v>
      </c>
      <c r="K66" t="e">
        <f ca="1"/>
        <v>#NAME?</v>
      </c>
      <c r="L66" s="30" t="e">
        <f ca="1"/>
        <v>#NAME?</v>
      </c>
    </row>
    <row r="67" spans="5:12" x14ac:dyDescent="0.35">
      <c r="E67" t="e">
        <f ca="1"/>
        <v>#NAME?</v>
      </c>
      <c r="F67" s="26" t="e">
        <f ca="1"/>
        <v>#NAME?</v>
      </c>
      <c r="G67" s="21" t="e">
        <f ca="1"/>
        <v>#NAME?</v>
      </c>
      <c r="H67" s="21" t="e">
        <f ca="1"/>
        <v>#NAME?</v>
      </c>
      <c r="I67" s="21" t="e">
        <f ca="1"/>
        <v>#NAME?</v>
      </c>
      <c r="J67" s="21" t="e">
        <f ca="1"/>
        <v>#NAME?</v>
      </c>
      <c r="K67" s="21" t="e">
        <f ca="1"/>
        <v>#NAME?</v>
      </c>
      <c r="L67" s="31" t="e">
        <f ca="1"/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6D13-CE1C-47F1-B04D-6EE394608441}">
  <sheetPr codeName="Sheet325"/>
  <dimension ref="A1:H52"/>
  <sheetViews>
    <sheetView workbookViewId="0"/>
  </sheetViews>
  <sheetFormatPr defaultRowHeight="14.5" x14ac:dyDescent="0.35"/>
  <sheetData>
    <row r="1" spans="1:8" x14ac:dyDescent="0.35">
      <c r="A1" s="1" t="s">
        <v>73</v>
      </c>
    </row>
    <row r="3" spans="1:8" x14ac:dyDescent="0.35">
      <c r="A3" s="2" t="s">
        <v>1</v>
      </c>
      <c r="B3" s="2" t="s">
        <v>2</v>
      </c>
      <c r="C3" s="2" t="s">
        <v>3</v>
      </c>
      <c r="E3" s="2" t="s">
        <v>1</v>
      </c>
      <c r="F3" s="2" t="s">
        <v>2</v>
      </c>
      <c r="G3" s="2" t="s">
        <v>8</v>
      </c>
      <c r="H3" s="2" t="s">
        <v>9</v>
      </c>
    </row>
    <row r="4" spans="1:8" x14ac:dyDescent="0.35">
      <c r="A4" s="3">
        <v>20</v>
      </c>
      <c r="B4" s="4">
        <v>0</v>
      </c>
      <c r="C4" s="5">
        <v>1</v>
      </c>
      <c r="E4" s="3">
        <v>20</v>
      </c>
      <c r="F4" s="29">
        <v>0</v>
      </c>
      <c r="G4" s="3" t="e">
        <f t="array" aca="1" ref="G4:H9" ca="1">LogitMatches(A4:C52,E4:F9)</f>
        <v>#NAME?</v>
      </c>
      <c r="H4" s="29" t="e">
        <f ca="1"/>
        <v>#NAME?</v>
      </c>
    </row>
    <row r="5" spans="1:8" x14ac:dyDescent="0.35">
      <c r="A5" s="6">
        <v>22</v>
      </c>
      <c r="B5">
        <v>1</v>
      </c>
      <c r="C5" s="7">
        <v>1</v>
      </c>
      <c r="E5" s="6">
        <v>22</v>
      </c>
      <c r="F5" s="30">
        <v>1</v>
      </c>
      <c r="G5" s="6" t="e">
        <f ca="1"/>
        <v>#NAME?</v>
      </c>
      <c r="H5" s="30" t="e">
        <f ca="1"/>
        <v>#NAME?</v>
      </c>
    </row>
    <row r="6" spans="1:8" x14ac:dyDescent="0.35">
      <c r="A6" s="6">
        <v>22</v>
      </c>
      <c r="B6">
        <v>1</v>
      </c>
      <c r="C6" s="7">
        <v>0</v>
      </c>
      <c r="E6" s="6">
        <v>24</v>
      </c>
      <c r="F6" s="30">
        <v>0</v>
      </c>
      <c r="G6" s="6" t="e">
        <f ca="1"/>
        <v>#NAME?</v>
      </c>
      <c r="H6" s="30" t="e">
        <f ca="1"/>
        <v>#NAME?</v>
      </c>
    </row>
    <row r="7" spans="1:8" x14ac:dyDescent="0.35">
      <c r="A7" s="6">
        <v>24</v>
      </c>
      <c r="B7">
        <v>0</v>
      </c>
      <c r="C7" s="7">
        <v>0</v>
      </c>
      <c r="E7" s="6">
        <v>22</v>
      </c>
      <c r="F7" s="30">
        <v>0</v>
      </c>
      <c r="G7" s="6" t="e">
        <f ca="1"/>
        <v>#NAME?</v>
      </c>
      <c r="H7" s="30" t="e">
        <f ca="1"/>
        <v>#NAME?</v>
      </c>
    </row>
    <row r="8" spans="1:8" x14ac:dyDescent="0.35">
      <c r="A8" s="6">
        <v>22</v>
      </c>
      <c r="B8">
        <v>0</v>
      </c>
      <c r="C8" s="7">
        <v>1</v>
      </c>
      <c r="E8" s="6">
        <v>20</v>
      </c>
      <c r="F8" s="30">
        <v>1</v>
      </c>
      <c r="G8" s="6" t="e">
        <f ca="1"/>
        <v>#NAME?</v>
      </c>
      <c r="H8" s="30" t="e">
        <f ca="1"/>
        <v>#NAME?</v>
      </c>
    </row>
    <row r="9" spans="1:8" x14ac:dyDescent="0.35">
      <c r="A9" s="6">
        <v>22</v>
      </c>
      <c r="B9">
        <v>1</v>
      </c>
      <c r="C9" s="7">
        <v>0</v>
      </c>
      <c r="E9" s="26">
        <v>24</v>
      </c>
      <c r="F9" s="31">
        <v>1</v>
      </c>
      <c r="G9" s="26" t="e">
        <f ca="1"/>
        <v>#NAME?</v>
      </c>
      <c r="H9" s="31" t="e">
        <f ca="1"/>
        <v>#NAME?</v>
      </c>
    </row>
    <row r="10" spans="1:8" x14ac:dyDescent="0.35">
      <c r="A10" s="6">
        <v>20</v>
      </c>
      <c r="B10">
        <v>1</v>
      </c>
      <c r="C10" s="7">
        <v>0</v>
      </c>
    </row>
    <row r="11" spans="1:8" x14ac:dyDescent="0.35">
      <c r="A11" s="6">
        <v>24</v>
      </c>
      <c r="B11">
        <v>1</v>
      </c>
      <c r="C11" s="7">
        <v>0</v>
      </c>
    </row>
    <row r="12" spans="1:8" x14ac:dyDescent="0.35">
      <c r="A12" s="6">
        <v>24</v>
      </c>
      <c r="B12">
        <v>0</v>
      </c>
      <c r="C12" s="7">
        <v>0</v>
      </c>
    </row>
    <row r="13" spans="1:8" x14ac:dyDescent="0.35">
      <c r="A13" s="6">
        <v>20</v>
      </c>
      <c r="B13">
        <v>0</v>
      </c>
      <c r="C13" s="7">
        <v>1</v>
      </c>
    </row>
    <row r="14" spans="1:8" x14ac:dyDescent="0.35">
      <c r="A14" s="6">
        <v>20</v>
      </c>
      <c r="B14">
        <v>0</v>
      </c>
      <c r="C14" s="7">
        <v>1</v>
      </c>
    </row>
    <row r="15" spans="1:8" x14ac:dyDescent="0.35">
      <c r="A15" s="6">
        <v>22</v>
      </c>
      <c r="B15">
        <v>1</v>
      </c>
      <c r="C15" s="7">
        <v>0</v>
      </c>
    </row>
    <row r="16" spans="1:8" x14ac:dyDescent="0.35">
      <c r="A16" s="6">
        <v>20</v>
      </c>
      <c r="B16">
        <v>1</v>
      </c>
      <c r="C16" s="7">
        <v>1</v>
      </c>
    </row>
    <row r="17" spans="1:3" x14ac:dyDescent="0.35">
      <c r="A17" s="6">
        <v>22</v>
      </c>
      <c r="B17">
        <v>0</v>
      </c>
      <c r="C17" s="7">
        <v>0</v>
      </c>
    </row>
    <row r="18" spans="1:3" x14ac:dyDescent="0.35">
      <c r="A18" s="6">
        <v>22</v>
      </c>
      <c r="B18">
        <v>0</v>
      </c>
      <c r="C18" s="7">
        <v>1</v>
      </c>
    </row>
    <row r="19" spans="1:3" x14ac:dyDescent="0.35">
      <c r="A19" s="6">
        <v>24</v>
      </c>
      <c r="B19">
        <v>1</v>
      </c>
      <c r="C19" s="7">
        <v>1</v>
      </c>
    </row>
    <row r="20" spans="1:3" x14ac:dyDescent="0.35">
      <c r="A20" s="6">
        <v>24</v>
      </c>
      <c r="B20">
        <v>0</v>
      </c>
      <c r="C20" s="7">
        <v>0</v>
      </c>
    </row>
    <row r="21" spans="1:3" x14ac:dyDescent="0.35">
      <c r="A21" s="6">
        <v>22</v>
      </c>
      <c r="B21">
        <v>1</v>
      </c>
      <c r="C21" s="7">
        <v>0</v>
      </c>
    </row>
    <row r="22" spans="1:3" x14ac:dyDescent="0.35">
      <c r="A22" s="6">
        <v>24</v>
      </c>
      <c r="B22">
        <v>1</v>
      </c>
      <c r="C22" s="7">
        <v>0</v>
      </c>
    </row>
    <row r="23" spans="1:3" x14ac:dyDescent="0.35">
      <c r="A23" s="6">
        <v>20</v>
      </c>
      <c r="B23">
        <v>0</v>
      </c>
      <c r="C23" s="7">
        <v>0</v>
      </c>
    </row>
    <row r="24" spans="1:3" x14ac:dyDescent="0.35">
      <c r="A24" s="6">
        <v>20</v>
      </c>
      <c r="B24">
        <v>1</v>
      </c>
      <c r="C24" s="7">
        <v>0</v>
      </c>
    </row>
    <row r="25" spans="1:3" x14ac:dyDescent="0.35">
      <c r="A25" s="6">
        <v>20</v>
      </c>
      <c r="B25">
        <v>0</v>
      </c>
      <c r="C25" s="7">
        <v>1</v>
      </c>
    </row>
    <row r="26" spans="1:3" x14ac:dyDescent="0.35">
      <c r="A26" s="6">
        <v>20</v>
      </c>
      <c r="B26">
        <v>1</v>
      </c>
      <c r="C26" s="7">
        <v>1</v>
      </c>
    </row>
    <row r="27" spans="1:3" x14ac:dyDescent="0.35">
      <c r="A27" s="6">
        <v>20</v>
      </c>
      <c r="B27">
        <v>1</v>
      </c>
      <c r="C27" s="7">
        <v>1</v>
      </c>
    </row>
    <row r="28" spans="1:3" x14ac:dyDescent="0.35">
      <c r="A28" s="6">
        <v>20</v>
      </c>
      <c r="B28">
        <v>0</v>
      </c>
      <c r="C28" s="7">
        <v>1</v>
      </c>
    </row>
    <row r="29" spans="1:3" x14ac:dyDescent="0.35">
      <c r="A29" s="6">
        <v>24</v>
      </c>
      <c r="B29">
        <v>0</v>
      </c>
      <c r="C29" s="7">
        <v>0</v>
      </c>
    </row>
    <row r="30" spans="1:3" x14ac:dyDescent="0.35">
      <c r="A30" s="6">
        <v>22</v>
      </c>
      <c r="B30">
        <v>0</v>
      </c>
      <c r="C30" s="7">
        <v>1</v>
      </c>
    </row>
    <row r="31" spans="1:3" x14ac:dyDescent="0.35">
      <c r="A31" s="6">
        <v>24</v>
      </c>
      <c r="B31">
        <v>1</v>
      </c>
      <c r="C31" s="7">
        <v>1</v>
      </c>
    </row>
    <row r="32" spans="1:3" x14ac:dyDescent="0.35">
      <c r="A32" s="6">
        <v>24</v>
      </c>
      <c r="B32">
        <v>0</v>
      </c>
      <c r="C32" s="7">
        <v>1</v>
      </c>
    </row>
    <row r="33" spans="1:3" x14ac:dyDescent="0.35">
      <c r="A33" s="6">
        <v>22</v>
      </c>
      <c r="B33">
        <v>1</v>
      </c>
      <c r="C33" s="7">
        <v>1</v>
      </c>
    </row>
    <row r="34" spans="1:3" x14ac:dyDescent="0.35">
      <c r="A34" s="6">
        <v>22</v>
      </c>
      <c r="B34">
        <v>0</v>
      </c>
      <c r="C34" s="7">
        <v>0</v>
      </c>
    </row>
    <row r="35" spans="1:3" x14ac:dyDescent="0.35">
      <c r="A35" s="6">
        <v>22</v>
      </c>
      <c r="B35">
        <v>0</v>
      </c>
      <c r="C35" s="7">
        <v>1</v>
      </c>
    </row>
    <row r="36" spans="1:3" x14ac:dyDescent="0.35">
      <c r="A36" s="6">
        <v>20</v>
      </c>
      <c r="B36">
        <v>1</v>
      </c>
      <c r="C36" s="7">
        <v>0</v>
      </c>
    </row>
    <row r="37" spans="1:3" x14ac:dyDescent="0.35">
      <c r="A37" s="6">
        <v>24</v>
      </c>
      <c r="B37">
        <v>1</v>
      </c>
      <c r="C37" s="7">
        <v>0</v>
      </c>
    </row>
    <row r="38" spans="1:3" x14ac:dyDescent="0.35">
      <c r="A38" s="6">
        <v>24</v>
      </c>
      <c r="B38">
        <v>0</v>
      </c>
      <c r="C38" s="7">
        <v>0</v>
      </c>
    </row>
    <row r="39" spans="1:3" x14ac:dyDescent="0.35">
      <c r="A39" s="6">
        <v>22</v>
      </c>
      <c r="B39">
        <v>1</v>
      </c>
      <c r="C39" s="7">
        <v>1</v>
      </c>
    </row>
    <row r="40" spans="1:3" x14ac:dyDescent="0.35">
      <c r="A40" s="6">
        <v>20</v>
      </c>
      <c r="B40">
        <v>0</v>
      </c>
      <c r="C40" s="7">
        <v>1</v>
      </c>
    </row>
    <row r="41" spans="1:3" x14ac:dyDescent="0.35">
      <c r="A41" s="6">
        <v>22</v>
      </c>
      <c r="B41">
        <v>0</v>
      </c>
      <c r="C41" s="7">
        <v>0</v>
      </c>
    </row>
    <row r="42" spans="1:3" x14ac:dyDescent="0.35">
      <c r="A42" s="6">
        <v>22</v>
      </c>
      <c r="B42">
        <v>1</v>
      </c>
      <c r="C42" s="7">
        <v>0</v>
      </c>
    </row>
    <row r="43" spans="1:3" x14ac:dyDescent="0.35">
      <c r="A43" s="6">
        <v>20</v>
      </c>
      <c r="B43">
        <v>1</v>
      </c>
      <c r="C43" s="7">
        <v>1</v>
      </c>
    </row>
    <row r="44" spans="1:3" x14ac:dyDescent="0.35">
      <c r="A44" s="6">
        <v>20</v>
      </c>
      <c r="B44">
        <v>1</v>
      </c>
      <c r="C44" s="7">
        <v>0</v>
      </c>
    </row>
    <row r="45" spans="1:3" x14ac:dyDescent="0.35">
      <c r="A45" s="6">
        <v>22</v>
      </c>
      <c r="B45">
        <v>1</v>
      </c>
      <c r="C45" s="7">
        <v>1</v>
      </c>
    </row>
    <row r="46" spans="1:3" x14ac:dyDescent="0.35">
      <c r="A46" s="6">
        <v>24</v>
      </c>
      <c r="B46">
        <v>0</v>
      </c>
      <c r="C46" s="7">
        <v>1</v>
      </c>
    </row>
    <row r="47" spans="1:3" x14ac:dyDescent="0.35">
      <c r="A47" s="6">
        <v>20</v>
      </c>
      <c r="B47">
        <v>1</v>
      </c>
      <c r="C47" s="7">
        <v>1</v>
      </c>
    </row>
    <row r="48" spans="1:3" x14ac:dyDescent="0.35">
      <c r="A48" s="6">
        <v>20</v>
      </c>
      <c r="B48">
        <v>0</v>
      </c>
      <c r="C48" s="7">
        <v>1</v>
      </c>
    </row>
    <row r="49" spans="1:3" x14ac:dyDescent="0.35">
      <c r="A49" s="6">
        <v>24</v>
      </c>
      <c r="B49">
        <v>1</v>
      </c>
      <c r="C49" s="7">
        <v>0</v>
      </c>
    </row>
    <row r="50" spans="1:3" x14ac:dyDescent="0.35">
      <c r="A50" s="6">
        <v>24</v>
      </c>
      <c r="B50">
        <v>1</v>
      </c>
      <c r="C50" s="7">
        <v>0</v>
      </c>
    </row>
    <row r="51" spans="1:3" x14ac:dyDescent="0.35">
      <c r="A51" s="6">
        <v>22</v>
      </c>
      <c r="B51">
        <v>0</v>
      </c>
      <c r="C51" s="7">
        <v>1</v>
      </c>
    </row>
    <row r="52" spans="1:3" x14ac:dyDescent="0.35">
      <c r="A52" s="26">
        <v>24</v>
      </c>
      <c r="B52" s="21">
        <v>1</v>
      </c>
      <c r="C52" s="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Summary</vt:lpstr>
      <vt:lpstr>Raw</vt:lpstr>
      <vt:lpstr>LogitMatches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2023-04-01T16:52:20Z</dcterms:created>
  <dcterms:modified xsi:type="dcterms:W3CDTF">2023-04-01T16:56:39Z</dcterms:modified>
</cp:coreProperties>
</file>