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D31DB20-F7AA-4049-9E2B-EF75724AFF73}" xr6:coauthVersionLast="47" xr6:coauthVersionMax="47" xr10:uidLastSave="{00000000-0000-0000-0000-000000000000}"/>
  <bookViews>
    <workbookView xWindow="-110" yWindow="-110" windowWidth="19420" windowHeight="10300" xr2:uid="{7028BE7B-7961-466A-9B45-2EC1D5622E7C}"/>
  </bookViews>
  <sheets>
    <sheet name="Title" sheetId="7" r:id="rId1"/>
    <sheet name="Iter" sheetId="1" r:id="rId2"/>
    <sheet name="Tool" sheetId="2" r:id="rId3"/>
    <sheet name="Raw" sheetId="3" r:id="rId4"/>
    <sheet name="Alt" sheetId="4" r:id="rId5"/>
    <sheet name="Summary" sheetId="5" r:id="rId6"/>
    <sheet name="Formulas" sheetId="6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6" l="1"/>
  <c r="K25" i="6"/>
  <c r="K20" i="6"/>
  <c r="K19" i="6"/>
  <c r="G20" i="6"/>
  <c r="G18" i="6" a="1"/>
  <c r="G19" i="6" s="1"/>
  <c r="O19" i="6"/>
  <c r="O18" i="6"/>
  <c r="O15" i="6"/>
  <c r="O14" i="6"/>
  <c r="O13" i="6" a="1"/>
  <c r="P19" i="6" s="1"/>
  <c r="J13" i="6"/>
  <c r="L12" i="6"/>
  <c r="I12" i="6"/>
  <c r="G12" i="6" a="1"/>
  <c r="L14" i="6" s="1"/>
  <c r="U8" i="6"/>
  <c r="X6" i="6"/>
  <c r="S5" i="6"/>
  <c r="R5" i="6" a="1"/>
  <c r="V8" i="6" s="1"/>
  <c r="O5" i="6" a="1"/>
  <c r="P8" i="6" s="1"/>
  <c r="K7" i="6"/>
  <c r="M5" i="6"/>
  <c r="K5" i="6"/>
  <c r="F5" i="6" a="1"/>
  <c r="K8" i="6" s="1"/>
  <c r="E109" i="5"/>
  <c r="B105" i="5" a="1"/>
  <c r="D116" i="5" s="1"/>
  <c r="E100" i="5"/>
  <c r="E99" i="5"/>
  <c r="E98" i="5"/>
  <c r="E97" i="5"/>
  <c r="T100" i="5"/>
  <c r="U98" i="5"/>
  <c r="U97" i="5"/>
  <c r="T96" i="5" a="1"/>
  <c r="U100" i="5" s="1"/>
  <c r="Q96" i="5" a="1"/>
  <c r="Q97" i="5" s="1"/>
  <c r="N100" i="5"/>
  <c r="K100" i="5"/>
  <c r="H100" i="5"/>
  <c r="M99" i="5"/>
  <c r="N98" i="5"/>
  <c r="K98" i="5"/>
  <c r="H98" i="5"/>
  <c r="M97" i="5"/>
  <c r="N96" i="5"/>
  <c r="K96" i="5"/>
  <c r="H96" i="5"/>
  <c r="H96" i="5" a="1"/>
  <c r="I100" i="5" s="1"/>
  <c r="J86" i="5" a="1"/>
  <c r="J87" i="5" s="1"/>
  <c r="AM72" i="5" a="1"/>
  <c r="AM80" i="5" s="1"/>
  <c r="V72" i="5" a="1"/>
  <c r="H55" i="5"/>
  <c r="H55" i="5" a="1"/>
  <c r="H56" i="5" s="1"/>
  <c r="B54" i="5"/>
  <c r="B54" i="5" a="1"/>
  <c r="AG51" i="5" a="1"/>
  <c r="R52" i="5"/>
  <c r="R51" i="5" a="1"/>
  <c r="R51" i="5" s="1"/>
  <c r="H38" i="5" a="1"/>
  <c r="B37" i="5" a="1"/>
  <c r="B37" i="5" s="1"/>
  <c r="AG30" i="5" a="1"/>
  <c r="AG34" i="5" s="1"/>
  <c r="R30" i="5" a="1"/>
  <c r="H23" i="5"/>
  <c r="H22" i="5"/>
  <c r="H21" i="5" a="1"/>
  <c r="H21" i="5" s="1"/>
  <c r="AI7" i="5" a="1"/>
  <c r="AI18" i="5" s="1"/>
  <c r="S7" i="5" a="1"/>
  <c r="S7" i="5" s="1"/>
  <c r="J4" i="4" a="1"/>
  <c r="J4" i="4" s="1"/>
  <c r="G4" i="4" a="1"/>
  <c r="H8" i="4" s="1"/>
  <c r="F66" i="3"/>
  <c r="G64" i="3"/>
  <c r="E64" i="3" a="1"/>
  <c r="L67" i="3" s="1"/>
  <c r="I59" i="3"/>
  <c r="K55" i="3"/>
  <c r="I54" i="3" a="1"/>
  <c r="L57" i="3" s="1"/>
  <c r="P50" i="3"/>
  <c r="P49" i="3"/>
  <c r="P44" i="3"/>
  <c r="K49" i="3"/>
  <c r="J49" i="3"/>
  <c r="K47" i="3"/>
  <c r="L46" i="3"/>
  <c r="K46" i="3"/>
  <c r="L44" i="3"/>
  <c r="J44" i="3"/>
  <c r="I44" i="3"/>
  <c r="I44" i="3" a="1"/>
  <c r="I49" i="3" s="1"/>
  <c r="P43" i="3"/>
  <c r="F45" i="3"/>
  <c r="E43" i="3" a="1"/>
  <c r="E45" i="3" s="1"/>
  <c r="P38" i="3"/>
  <c r="P37" i="3"/>
  <c r="E36" i="3" a="1"/>
  <c r="J38" i="3" s="1"/>
  <c r="G16" i="3"/>
  <c r="G15" i="3" a="1"/>
  <c r="G15" i="3" s="1"/>
  <c r="AH7" i="3" a="1"/>
  <c r="AJ9" i="3" s="1"/>
  <c r="R8" i="3"/>
  <c r="R7" i="3"/>
  <c r="R7" i="3" a="1"/>
  <c r="R9" i="3" s="1"/>
  <c r="H7" i="3"/>
  <c r="E6" i="3" a="1"/>
  <c r="G6" i="3" s="1"/>
  <c r="F33" i="2"/>
  <c r="F32" i="2"/>
  <c r="S25" i="2" a="1"/>
  <c r="S26" i="2" s="1"/>
  <c r="N25" i="2" a="1"/>
  <c r="I27" i="2"/>
  <c r="L26" i="2"/>
  <c r="H26" i="2"/>
  <c r="K25" i="2"/>
  <c r="E25" i="2" a="1"/>
  <c r="F27" i="2" s="1"/>
  <c r="G20" i="2"/>
  <c r="G19" i="2" a="1"/>
  <c r="G19" i="2" s="1"/>
  <c r="AH16" i="2"/>
  <c r="AG16" i="2"/>
  <c r="AG15" i="2"/>
  <c r="AH13" i="2"/>
  <c r="AG12" i="2"/>
  <c r="AH11" i="2"/>
  <c r="AG11" i="2"/>
  <c r="AF9" i="2"/>
  <c r="AG8" i="2"/>
  <c r="AG7" i="2"/>
  <c r="AF7" i="2"/>
  <c r="AF7" i="2" a="1"/>
  <c r="AH14" i="2" s="1"/>
  <c r="Q7" i="2" a="1"/>
  <c r="Q8" i="2" s="1"/>
  <c r="J9" i="1" a="1"/>
  <c r="J10" i="1" s="1"/>
  <c r="G51" i="5"/>
  <c r="H51" i="5"/>
  <c r="F51" i="5"/>
  <c r="G50" i="5"/>
  <c r="H50" i="5"/>
  <c r="F50" i="5"/>
  <c r="G49" i="5"/>
  <c r="H49" i="5"/>
  <c r="F49" i="5"/>
  <c r="H34" i="5"/>
  <c r="G34" i="5"/>
  <c r="I34" i="5" s="1"/>
  <c r="F34" i="5"/>
  <c r="H33" i="5"/>
  <c r="G33" i="5"/>
  <c r="I33" i="5" s="1"/>
  <c r="F33" i="5"/>
  <c r="H32" i="5"/>
  <c r="I32" i="5" s="1"/>
  <c r="G32" i="5"/>
  <c r="F32" i="5"/>
  <c r="H31" i="5"/>
  <c r="I31" i="5" s="1"/>
  <c r="G31" i="5"/>
  <c r="F31" i="5"/>
  <c r="H30" i="5"/>
  <c r="G30" i="5"/>
  <c r="I30" i="5" s="1"/>
  <c r="F30" i="5"/>
  <c r="H29" i="5"/>
  <c r="H35" i="5" s="1"/>
  <c r="G29" i="5"/>
  <c r="G35" i="5" s="1"/>
  <c r="F29" i="5"/>
  <c r="H28" i="5"/>
  <c r="G28" i="5"/>
  <c r="F28" i="5"/>
  <c r="F39" i="5" s="1" a="1"/>
  <c r="F39" i="5" s="1"/>
  <c r="T9" i="2"/>
  <c r="T5" i="2"/>
  <c r="V9" i="5"/>
  <c r="V5" i="5"/>
  <c r="K10" i="1" l="1"/>
  <c r="AH9" i="2"/>
  <c r="AF14" i="2"/>
  <c r="T26" i="2"/>
  <c r="H8" i="3"/>
  <c r="AI7" i="3"/>
  <c r="G17" i="3"/>
  <c r="E46" i="3"/>
  <c r="J45" i="3"/>
  <c r="I48" i="3"/>
  <c r="J64" i="3"/>
  <c r="G66" i="3"/>
  <c r="H4" i="4"/>
  <c r="AI7" i="5"/>
  <c r="AJ12" i="5"/>
  <c r="AK17" i="5"/>
  <c r="AI30" i="5"/>
  <c r="J86" i="5"/>
  <c r="H97" i="5"/>
  <c r="H99" i="5"/>
  <c r="F112" i="5"/>
  <c r="P5" i="6"/>
  <c r="U5" i="6"/>
  <c r="R7" i="6"/>
  <c r="W8" i="6"/>
  <c r="M13" i="6"/>
  <c r="AK11" i="5"/>
  <c r="AI17" i="5"/>
  <c r="AF10" i="2"/>
  <c r="AG14" i="2"/>
  <c r="G25" i="2"/>
  <c r="S27" i="2"/>
  <c r="E10" i="3"/>
  <c r="AI8" i="3"/>
  <c r="F46" i="3"/>
  <c r="K45" i="3"/>
  <c r="J48" i="3"/>
  <c r="L64" i="3"/>
  <c r="J66" i="3"/>
  <c r="G7" i="4"/>
  <c r="AI8" i="5"/>
  <c r="AJ13" i="5"/>
  <c r="AK18" i="5"/>
  <c r="AH32" i="5"/>
  <c r="J88" i="5"/>
  <c r="K97" i="5"/>
  <c r="K99" i="5"/>
  <c r="R99" i="5"/>
  <c r="C113" i="5"/>
  <c r="P6" i="6"/>
  <c r="W5" i="6"/>
  <c r="S7" i="6"/>
  <c r="X8" i="6"/>
  <c r="I14" i="6"/>
  <c r="G18" i="6"/>
  <c r="AF11" i="2"/>
  <c r="AF15" i="2"/>
  <c r="T28" i="2"/>
  <c r="E11" i="3"/>
  <c r="AI9" i="3"/>
  <c r="I46" i="3"/>
  <c r="K48" i="3"/>
  <c r="E65" i="3"/>
  <c r="L66" i="3"/>
  <c r="G8" i="4"/>
  <c r="AK8" i="5"/>
  <c r="AI14" i="5"/>
  <c r="AH33" i="5"/>
  <c r="J89" i="5"/>
  <c r="B116" i="5"/>
  <c r="O7" i="6"/>
  <c r="X5" i="6"/>
  <c r="U7" i="6"/>
  <c r="K14" i="6"/>
  <c r="AJ11" i="3"/>
  <c r="J46" i="3"/>
  <c r="L48" i="3"/>
  <c r="F65" i="3"/>
  <c r="F67" i="3"/>
  <c r="AI9" i="5"/>
  <c r="AJ14" i="5"/>
  <c r="N97" i="5"/>
  <c r="N99" i="5"/>
  <c r="T96" i="5"/>
  <c r="O8" i="6"/>
  <c r="R6" i="6"/>
  <c r="W7" i="6"/>
  <c r="G12" i="6"/>
  <c r="AH12" i="3"/>
  <c r="J65" i="3"/>
  <c r="G67" i="3"/>
  <c r="AK9" i="5"/>
  <c r="AI15" i="5"/>
  <c r="P9" i="6"/>
  <c r="S6" i="6"/>
  <c r="X7" i="6"/>
  <c r="E44" i="3"/>
  <c r="E64" i="3"/>
  <c r="L65" i="3"/>
  <c r="J67" i="3"/>
  <c r="AK10" i="5"/>
  <c r="AI16" i="5"/>
  <c r="D106" i="5"/>
  <c r="U6" i="6"/>
  <c r="R8" i="6"/>
  <c r="AH8" i="2"/>
  <c r="AH12" i="2"/>
  <c r="K44" i="3"/>
  <c r="J47" i="3"/>
  <c r="F64" i="3"/>
  <c r="E66" i="3"/>
  <c r="S8" i="5"/>
  <c r="AJ11" i="5"/>
  <c r="AK16" i="5"/>
  <c r="M96" i="5"/>
  <c r="M98" i="5"/>
  <c r="M100" i="5"/>
  <c r="T99" i="5"/>
  <c r="F106" i="5"/>
  <c r="R5" i="6"/>
  <c r="W6" i="6"/>
  <c r="S8" i="6"/>
  <c r="H13" i="6"/>
  <c r="O29" i="2"/>
  <c r="O25" i="2"/>
  <c r="N29" i="2"/>
  <c r="G37" i="3"/>
  <c r="F11" i="3"/>
  <c r="F9" i="3"/>
  <c r="F7" i="3"/>
  <c r="E8" i="3"/>
  <c r="E36" i="3"/>
  <c r="J37" i="3"/>
  <c r="F39" i="3"/>
  <c r="L55" i="3"/>
  <c r="R30" i="5"/>
  <c r="R31" i="5"/>
  <c r="AN77" i="5"/>
  <c r="AH7" i="2"/>
  <c r="AG10" i="2"/>
  <c r="AF13" i="2"/>
  <c r="AH15" i="2"/>
  <c r="E25" i="2"/>
  <c r="E26" i="2"/>
  <c r="N26" i="2"/>
  <c r="O30" i="2"/>
  <c r="T27" i="2"/>
  <c r="E6" i="3"/>
  <c r="F8" i="3"/>
  <c r="G10" i="3"/>
  <c r="AJ8" i="3"/>
  <c r="AI12" i="3"/>
  <c r="F36" i="3"/>
  <c r="L37" i="3"/>
  <c r="G39" i="3"/>
  <c r="K56" i="3"/>
  <c r="K59" i="3"/>
  <c r="G9" i="4"/>
  <c r="G5" i="4"/>
  <c r="H6" i="4"/>
  <c r="H9" i="4"/>
  <c r="H5" i="4"/>
  <c r="AH34" i="5"/>
  <c r="AI31" i="5"/>
  <c r="AI33" i="5"/>
  <c r="AG31" i="5"/>
  <c r="AH35" i="5"/>
  <c r="AI32" i="5"/>
  <c r="AG30" i="5"/>
  <c r="AI34" i="5"/>
  <c r="AG32" i="5"/>
  <c r="AG35" i="5"/>
  <c r="AO72" i="5"/>
  <c r="AM78" i="5"/>
  <c r="AN83" i="5"/>
  <c r="Q102" i="5"/>
  <c r="B108" i="5"/>
  <c r="D114" i="5"/>
  <c r="K6" i="6"/>
  <c r="G27" i="2"/>
  <c r="G26" i="2"/>
  <c r="L25" i="2"/>
  <c r="E27" i="2"/>
  <c r="N25" i="2"/>
  <c r="N30" i="2"/>
  <c r="F10" i="3"/>
  <c r="J59" i="3"/>
  <c r="AM72" i="5"/>
  <c r="AO82" i="5"/>
  <c r="Q101" i="5"/>
  <c r="AF8" i="2"/>
  <c r="AH10" i="2"/>
  <c r="AG13" i="2"/>
  <c r="AF16" i="2"/>
  <c r="F25" i="2"/>
  <c r="F26" i="2"/>
  <c r="H27" i="2"/>
  <c r="O26" i="2"/>
  <c r="N31" i="2"/>
  <c r="S28" i="2"/>
  <c r="F6" i="3"/>
  <c r="G8" i="3"/>
  <c r="H10" i="3"/>
  <c r="AH9" i="3"/>
  <c r="AJ12" i="3"/>
  <c r="G36" i="3"/>
  <c r="E38" i="3"/>
  <c r="J39" i="3"/>
  <c r="I57" i="3"/>
  <c r="L59" i="3"/>
  <c r="G4" i="4"/>
  <c r="AH30" i="5"/>
  <c r="AI35" i="5"/>
  <c r="AO73" i="5"/>
  <c r="AM79" i="5"/>
  <c r="R102" i="5"/>
  <c r="D108" i="5"/>
  <c r="F114" i="5"/>
  <c r="M6" i="6"/>
  <c r="O31" i="2"/>
  <c r="J36" i="3"/>
  <c r="L39" i="3"/>
  <c r="J57" i="3"/>
  <c r="AI51" i="5"/>
  <c r="AG51" i="5"/>
  <c r="AI52" i="5"/>
  <c r="AG52" i="5"/>
  <c r="AN74" i="5"/>
  <c r="AO79" i="5"/>
  <c r="Q7" i="2"/>
  <c r="H25" i="2"/>
  <c r="I26" i="2"/>
  <c r="J27" i="2"/>
  <c r="S29" i="2"/>
  <c r="H6" i="3"/>
  <c r="E9" i="3"/>
  <c r="G11" i="3"/>
  <c r="L36" i="3"/>
  <c r="G38" i="3"/>
  <c r="K54" i="3"/>
  <c r="K57" i="3"/>
  <c r="H67" i="3"/>
  <c r="H66" i="3"/>
  <c r="H65" i="3"/>
  <c r="H64" i="3"/>
  <c r="K67" i="3"/>
  <c r="K66" i="3"/>
  <c r="K65" i="3"/>
  <c r="K64" i="3"/>
  <c r="I67" i="3"/>
  <c r="I66" i="3"/>
  <c r="I65" i="3"/>
  <c r="I64" i="3"/>
  <c r="G65" i="3"/>
  <c r="E67" i="3"/>
  <c r="G6" i="4"/>
  <c r="S9" i="5"/>
  <c r="AH31" i="5"/>
  <c r="H38" i="5"/>
  <c r="H39" i="5"/>
  <c r="AH51" i="5"/>
  <c r="AO74" i="5"/>
  <c r="B110" i="5"/>
  <c r="M7" i="6"/>
  <c r="AO83" i="5"/>
  <c r="AM81" i="5"/>
  <c r="AN78" i="5"/>
  <c r="AO75" i="5"/>
  <c r="AM73" i="5"/>
  <c r="AM83" i="5"/>
  <c r="AN80" i="5"/>
  <c r="AO77" i="5"/>
  <c r="AM75" i="5"/>
  <c r="AN72" i="5"/>
  <c r="AM82" i="5"/>
  <c r="AN79" i="5"/>
  <c r="AO76" i="5"/>
  <c r="AM74" i="5"/>
  <c r="AN81" i="5"/>
  <c r="AO78" i="5"/>
  <c r="AM76" i="5"/>
  <c r="AN73" i="5"/>
  <c r="AN82" i="5"/>
  <c r="N27" i="2"/>
  <c r="F38" i="3"/>
  <c r="Q100" i="5"/>
  <c r="Q96" i="5"/>
  <c r="Q99" i="5"/>
  <c r="R101" i="5"/>
  <c r="R97" i="5"/>
  <c r="R100" i="5"/>
  <c r="R96" i="5"/>
  <c r="K9" i="1"/>
  <c r="I25" i="2"/>
  <c r="J26" i="2"/>
  <c r="K27" i="2"/>
  <c r="N28" i="2"/>
  <c r="S25" i="2"/>
  <c r="T29" i="2"/>
  <c r="E7" i="3"/>
  <c r="G9" i="3"/>
  <c r="H11" i="3"/>
  <c r="AI10" i="3"/>
  <c r="AJ7" i="3"/>
  <c r="AI11" i="3"/>
  <c r="AJ10" i="3"/>
  <c r="AH8" i="3"/>
  <c r="AH10" i="3"/>
  <c r="E37" i="3"/>
  <c r="I55" i="3"/>
  <c r="AH52" i="5"/>
  <c r="V72" i="5"/>
  <c r="V75" i="5"/>
  <c r="V73" i="5"/>
  <c r="AN75" i="5"/>
  <c r="AO80" i="5"/>
  <c r="Q98" i="5"/>
  <c r="E116" i="5"/>
  <c r="B115" i="5"/>
  <c r="D113" i="5"/>
  <c r="F111" i="5"/>
  <c r="C110" i="5"/>
  <c r="E108" i="5"/>
  <c r="B107" i="5"/>
  <c r="D105" i="5"/>
  <c r="F117" i="5"/>
  <c r="C116" i="5"/>
  <c r="E114" i="5"/>
  <c r="B113" i="5"/>
  <c r="D111" i="5"/>
  <c r="F109" i="5"/>
  <c r="C108" i="5"/>
  <c r="E106" i="5"/>
  <c r="B105" i="5"/>
  <c r="D117" i="5"/>
  <c r="F115" i="5"/>
  <c r="C114" i="5"/>
  <c r="E112" i="5"/>
  <c r="B111" i="5"/>
  <c r="D109" i="5"/>
  <c r="F107" i="5"/>
  <c r="C106" i="5"/>
  <c r="C117" i="5"/>
  <c r="E115" i="5"/>
  <c r="B114" i="5"/>
  <c r="D112" i="5"/>
  <c r="F110" i="5"/>
  <c r="C109" i="5"/>
  <c r="E107" i="5"/>
  <c r="B106" i="5"/>
  <c r="B117" i="5"/>
  <c r="D115" i="5"/>
  <c r="F113" i="5"/>
  <c r="C112" i="5"/>
  <c r="E110" i="5"/>
  <c r="B109" i="5"/>
  <c r="D107" i="5"/>
  <c r="F105" i="5"/>
  <c r="F116" i="5"/>
  <c r="C115" i="5"/>
  <c r="E113" i="5"/>
  <c r="B112" i="5"/>
  <c r="D110" i="5"/>
  <c r="F108" i="5"/>
  <c r="C107" i="5"/>
  <c r="E105" i="5"/>
  <c r="C111" i="5"/>
  <c r="E117" i="5"/>
  <c r="H39" i="3"/>
  <c r="H38" i="3"/>
  <c r="H37" i="3"/>
  <c r="H36" i="3"/>
  <c r="K39" i="3"/>
  <c r="K38" i="3"/>
  <c r="K37" i="3"/>
  <c r="K36" i="3"/>
  <c r="I39" i="3"/>
  <c r="I38" i="3"/>
  <c r="I37" i="3"/>
  <c r="I36" i="3"/>
  <c r="E39" i="3"/>
  <c r="AM77" i="5"/>
  <c r="I60" i="3"/>
  <c r="I58" i="3"/>
  <c r="I56" i="3"/>
  <c r="I54" i="3"/>
  <c r="L60" i="3"/>
  <c r="L58" i="3"/>
  <c r="L56" i="3"/>
  <c r="L54" i="3"/>
  <c r="J60" i="3"/>
  <c r="J58" i="3"/>
  <c r="J56" i="3"/>
  <c r="J54" i="3"/>
  <c r="K60" i="3"/>
  <c r="J9" i="1"/>
  <c r="J13" i="1" s="1" a="1"/>
  <c r="O27" i="2"/>
  <c r="AG9" i="2"/>
  <c r="AF12" i="2"/>
  <c r="J25" i="2"/>
  <c r="K26" i="2"/>
  <c r="L27" i="2"/>
  <c r="O28" i="2"/>
  <c r="T25" i="2"/>
  <c r="G7" i="3"/>
  <c r="H9" i="3"/>
  <c r="AH7" i="3"/>
  <c r="AH11" i="3"/>
  <c r="F37" i="3"/>
  <c r="L38" i="3"/>
  <c r="E47" i="3"/>
  <c r="E43" i="3"/>
  <c r="F44" i="3"/>
  <c r="F47" i="3"/>
  <c r="F43" i="3"/>
  <c r="J55" i="3"/>
  <c r="K58" i="3"/>
  <c r="H7" i="4"/>
  <c r="AG33" i="5"/>
  <c r="V74" i="5"/>
  <c r="AN76" i="5"/>
  <c r="AO81" i="5"/>
  <c r="R98" i="5"/>
  <c r="C105" i="5"/>
  <c r="E111" i="5"/>
  <c r="F8" i="6"/>
  <c r="F7" i="6"/>
  <c r="F6" i="6"/>
  <c r="F5" i="6"/>
  <c r="L8" i="6"/>
  <c r="L7" i="6"/>
  <c r="L6" i="6"/>
  <c r="L5" i="6"/>
  <c r="J8" i="6"/>
  <c r="J7" i="6"/>
  <c r="J6" i="6"/>
  <c r="J5" i="6"/>
  <c r="I8" i="6"/>
  <c r="I7" i="6"/>
  <c r="I6" i="6"/>
  <c r="I5" i="6"/>
  <c r="H8" i="6"/>
  <c r="H7" i="6"/>
  <c r="H6" i="6"/>
  <c r="H5" i="6"/>
  <c r="G8" i="6"/>
  <c r="G7" i="6"/>
  <c r="G6" i="6"/>
  <c r="G5" i="6"/>
  <c r="M8" i="6"/>
  <c r="AK7" i="5"/>
  <c r="AJ10" i="5"/>
  <c r="AI13" i="5"/>
  <c r="AK15" i="5"/>
  <c r="AJ18" i="5"/>
  <c r="J96" i="5"/>
  <c r="J97" i="5"/>
  <c r="J98" i="5"/>
  <c r="J99" i="5"/>
  <c r="J100" i="5"/>
  <c r="T97" i="5"/>
  <c r="O5" i="6"/>
  <c r="O9" i="6"/>
  <c r="K12" i="6"/>
  <c r="L13" i="6"/>
  <c r="M14" i="6"/>
  <c r="O16" i="6"/>
  <c r="P16" i="6"/>
  <c r="L45" i="3"/>
  <c r="L47" i="3"/>
  <c r="L49" i="3"/>
  <c r="AJ8" i="5"/>
  <c r="AI11" i="5"/>
  <c r="AK13" i="5"/>
  <c r="AJ16" i="5"/>
  <c r="L96" i="5"/>
  <c r="L97" i="5"/>
  <c r="L98" i="5"/>
  <c r="L99" i="5"/>
  <c r="L100" i="5"/>
  <c r="T98" i="5"/>
  <c r="O6" i="6"/>
  <c r="Y5" i="6"/>
  <c r="Y6" i="6"/>
  <c r="Y7" i="6"/>
  <c r="Y8" i="6"/>
  <c r="M12" i="6"/>
  <c r="G14" i="6"/>
  <c r="O13" i="6"/>
  <c r="O17" i="6"/>
  <c r="G13" i="6"/>
  <c r="H14" i="6"/>
  <c r="P13" i="6"/>
  <c r="P17" i="6"/>
  <c r="AJ9" i="5"/>
  <c r="AI12" i="5"/>
  <c r="AK14" i="5"/>
  <c r="AJ17" i="5"/>
  <c r="O96" i="5"/>
  <c r="O97" i="5"/>
  <c r="O98" i="5"/>
  <c r="O99" i="5"/>
  <c r="O100" i="5"/>
  <c r="U99" i="5"/>
  <c r="P7" i="6"/>
  <c r="T5" i="6"/>
  <c r="T6" i="6"/>
  <c r="T7" i="6"/>
  <c r="T8" i="6"/>
  <c r="H12" i="6"/>
  <c r="I13" i="6"/>
  <c r="J14" i="6"/>
  <c r="P14" i="6"/>
  <c r="P18" i="6"/>
  <c r="I45" i="3"/>
  <c r="I47" i="3"/>
  <c r="AJ7" i="5"/>
  <c r="AI10" i="5"/>
  <c r="AK12" i="5"/>
  <c r="AJ15" i="5"/>
  <c r="I96" i="5"/>
  <c r="I97" i="5"/>
  <c r="I98" i="5"/>
  <c r="I99" i="5"/>
  <c r="U96" i="5"/>
  <c r="V5" i="6"/>
  <c r="V6" i="6"/>
  <c r="V7" i="6"/>
  <c r="J12" i="6"/>
  <c r="K13" i="6"/>
  <c r="P15" i="6"/>
  <c r="I50" i="5"/>
  <c r="I51" i="5"/>
  <c r="J32" i="5"/>
  <c r="J34" i="5"/>
  <c r="J33" i="5"/>
  <c r="J31" i="5"/>
  <c r="J30" i="5"/>
  <c r="I29" i="5"/>
  <c r="D16" i="6"/>
  <c r="C16" i="6"/>
  <c r="D100" i="5"/>
  <c r="D99" i="5"/>
  <c r="D98" i="5"/>
  <c r="D97" i="5"/>
  <c r="E83" i="5"/>
  <c r="L82" i="5"/>
  <c r="K82" i="5"/>
  <c r="F82" i="5"/>
  <c r="E82" i="5"/>
  <c r="C82" i="5"/>
  <c r="I82" i="5" s="1"/>
  <c r="B82" i="5"/>
  <c r="H82" i="5" s="1"/>
  <c r="L81" i="5"/>
  <c r="K81" i="5"/>
  <c r="F81" i="5"/>
  <c r="E81" i="5"/>
  <c r="C81" i="5"/>
  <c r="I81" i="5" s="1"/>
  <c r="B81" i="5"/>
  <c r="H81" i="5" s="1"/>
  <c r="N80" i="5"/>
  <c r="L80" i="5"/>
  <c r="F80" i="5"/>
  <c r="E80" i="5"/>
  <c r="K80" i="5" s="1"/>
  <c r="M80" i="5" s="1"/>
  <c r="C80" i="5"/>
  <c r="B80" i="5"/>
  <c r="H80" i="5" s="1"/>
  <c r="I79" i="5"/>
  <c r="H79" i="5"/>
  <c r="F79" i="5"/>
  <c r="L79" i="5" s="1"/>
  <c r="E79" i="5"/>
  <c r="K79" i="5" s="1"/>
  <c r="C79" i="5"/>
  <c r="B79" i="5"/>
  <c r="D79" i="5" s="1"/>
  <c r="J79" i="5" s="1"/>
  <c r="H78" i="5"/>
  <c r="F78" i="5"/>
  <c r="L78" i="5" s="1"/>
  <c r="E78" i="5"/>
  <c r="K78" i="5" s="1"/>
  <c r="D78" i="5"/>
  <c r="J78" i="5" s="1"/>
  <c r="C78" i="5"/>
  <c r="I78" i="5" s="1"/>
  <c r="B78" i="5"/>
  <c r="H77" i="5"/>
  <c r="F77" i="5"/>
  <c r="L77" i="5" s="1"/>
  <c r="E77" i="5"/>
  <c r="K77" i="5" s="1"/>
  <c r="D77" i="5"/>
  <c r="J77" i="5" s="1"/>
  <c r="C77" i="5"/>
  <c r="I77" i="5" s="1"/>
  <c r="B77" i="5"/>
  <c r="L76" i="5"/>
  <c r="F76" i="5"/>
  <c r="E76" i="5"/>
  <c r="K76" i="5" s="1"/>
  <c r="C76" i="5"/>
  <c r="B76" i="5"/>
  <c r="H76" i="5" s="1"/>
  <c r="I75" i="5"/>
  <c r="H75" i="5"/>
  <c r="F75" i="5"/>
  <c r="L75" i="5" s="1"/>
  <c r="E75" i="5"/>
  <c r="K75" i="5" s="1"/>
  <c r="C75" i="5"/>
  <c r="B75" i="5"/>
  <c r="D75" i="5" s="1"/>
  <c r="J75" i="5" s="1"/>
  <c r="I74" i="5"/>
  <c r="H74" i="5"/>
  <c r="F74" i="5"/>
  <c r="L74" i="5" s="1"/>
  <c r="E74" i="5"/>
  <c r="K74" i="5" s="1"/>
  <c r="D74" i="5"/>
  <c r="J74" i="5" s="1"/>
  <c r="C74" i="5"/>
  <c r="B74" i="5"/>
  <c r="L73" i="5"/>
  <c r="K73" i="5"/>
  <c r="H73" i="5"/>
  <c r="F73" i="5"/>
  <c r="E73" i="5"/>
  <c r="C73" i="5"/>
  <c r="I73" i="5" s="1"/>
  <c r="B73" i="5"/>
  <c r="D73" i="5" s="1"/>
  <c r="J73" i="5" s="1"/>
  <c r="H72" i="5"/>
  <c r="F72" i="5"/>
  <c r="L72" i="5" s="1"/>
  <c r="E72" i="5"/>
  <c r="K72" i="5" s="1"/>
  <c r="D72" i="5"/>
  <c r="J72" i="5" s="1"/>
  <c r="C72" i="5"/>
  <c r="I72" i="5" s="1"/>
  <c r="B72" i="5"/>
  <c r="F71" i="5"/>
  <c r="E71" i="5"/>
  <c r="K71" i="5" s="1"/>
  <c r="D71" i="5"/>
  <c r="J71" i="5" s="1"/>
  <c r="C71" i="5"/>
  <c r="I71" i="5" s="1"/>
  <c r="B71" i="5"/>
  <c r="H71" i="5" s="1"/>
  <c r="L70" i="5"/>
  <c r="K70" i="5"/>
  <c r="J70" i="5"/>
  <c r="I70" i="5"/>
  <c r="H70" i="5"/>
  <c r="H87" i="5" s="1" a="1"/>
  <c r="D51" i="5"/>
  <c r="C51" i="5"/>
  <c r="D50" i="5"/>
  <c r="D52" i="5" s="1"/>
  <c r="C50" i="5"/>
  <c r="C52" i="5" s="1"/>
  <c r="D34" i="5"/>
  <c r="C34" i="5"/>
  <c r="D33" i="5"/>
  <c r="C33" i="5"/>
  <c r="D32" i="5"/>
  <c r="C32" i="5"/>
  <c r="D31" i="5"/>
  <c r="C31" i="5"/>
  <c r="D30" i="5"/>
  <c r="C30" i="5"/>
  <c r="D29" i="5"/>
  <c r="D35" i="5" s="1"/>
  <c r="C29" i="5"/>
  <c r="C35" i="5" s="1"/>
  <c r="H18" i="5"/>
  <c r="AE8" i="5" s="1"/>
  <c r="I17" i="5"/>
  <c r="H17" i="5"/>
  <c r="G17" i="5"/>
  <c r="F17" i="5"/>
  <c r="I16" i="5"/>
  <c r="H16" i="5"/>
  <c r="G16" i="5"/>
  <c r="F16" i="5"/>
  <c r="D16" i="5"/>
  <c r="C16" i="5"/>
  <c r="I15" i="5"/>
  <c r="H15" i="5"/>
  <c r="G15" i="5"/>
  <c r="F15" i="5"/>
  <c r="I14" i="5"/>
  <c r="H14" i="5"/>
  <c r="G14" i="5"/>
  <c r="F14" i="5"/>
  <c r="I13" i="5"/>
  <c r="H13" i="5"/>
  <c r="G13" i="5"/>
  <c r="F13" i="5"/>
  <c r="J12" i="5"/>
  <c r="I12" i="5"/>
  <c r="H12" i="5"/>
  <c r="G12" i="5"/>
  <c r="F12" i="5"/>
  <c r="K11" i="5"/>
  <c r="J11" i="5"/>
  <c r="I11" i="5"/>
  <c r="H11" i="5"/>
  <c r="G11" i="5"/>
  <c r="F11" i="5"/>
  <c r="I10" i="5"/>
  <c r="H10" i="5"/>
  <c r="G10" i="5"/>
  <c r="F10" i="5"/>
  <c r="J9" i="5"/>
  <c r="I9" i="5"/>
  <c r="H9" i="5"/>
  <c r="G9" i="5"/>
  <c r="F9" i="5"/>
  <c r="I8" i="5"/>
  <c r="J8" i="5" s="1"/>
  <c r="H8" i="5"/>
  <c r="G8" i="5"/>
  <c r="F8" i="5"/>
  <c r="J7" i="5"/>
  <c r="I7" i="5"/>
  <c r="H7" i="5"/>
  <c r="G7" i="5"/>
  <c r="F7" i="5"/>
  <c r="K6" i="5"/>
  <c r="J6" i="5"/>
  <c r="I6" i="5"/>
  <c r="H6" i="5"/>
  <c r="G6" i="5"/>
  <c r="F6" i="5"/>
  <c r="I5" i="5"/>
  <c r="H5" i="5"/>
  <c r="G5" i="5"/>
  <c r="F5" i="5"/>
  <c r="E16" i="3" a="1"/>
  <c r="AR8" i="3"/>
  <c r="AR9" i="3" s="1"/>
  <c r="AR10" i="3" s="1"/>
  <c r="AR11" i="3" s="1"/>
  <c r="AR12" i="3" s="1"/>
  <c r="AR13" i="3" s="1"/>
  <c r="AR14" i="3" s="1"/>
  <c r="AR15" i="3" s="1"/>
  <c r="AR16" i="3" s="1"/>
  <c r="AR17" i="3" s="1"/>
  <c r="AR18" i="3" s="1"/>
  <c r="AR19" i="3" s="1"/>
  <c r="AR20" i="3" s="1"/>
  <c r="AR21" i="3" s="1"/>
  <c r="AR22" i="3" s="1"/>
  <c r="AR23" i="3" s="1"/>
  <c r="AR24" i="3" s="1"/>
  <c r="AR25" i="3" s="1"/>
  <c r="AR26" i="3" s="1"/>
  <c r="AR27" i="3" s="1"/>
  <c r="AR28" i="3" s="1"/>
  <c r="AR29" i="3" s="1"/>
  <c r="AR30" i="3" s="1"/>
  <c r="AW7" i="3"/>
  <c r="AW8" i="3" s="1"/>
  <c r="AW9" i="3" s="1"/>
  <c r="AW10" i="3" s="1"/>
  <c r="AW11" i="3" s="1"/>
  <c r="AW12" i="3" s="1"/>
  <c r="AW13" i="3" s="1"/>
  <c r="AW14" i="3" s="1"/>
  <c r="AW15" i="3" s="1"/>
  <c r="AW16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R7" i="3"/>
  <c r="F5" i="3"/>
  <c r="E5" i="3"/>
  <c r="G15" i="2"/>
  <c r="F15" i="2"/>
  <c r="G14" i="2"/>
  <c r="F14" i="2"/>
  <c r="C14" i="2"/>
  <c r="B14" i="2"/>
  <c r="H13" i="2"/>
  <c r="G13" i="2"/>
  <c r="F13" i="2"/>
  <c r="I13" i="2" s="1"/>
  <c r="H12" i="2"/>
  <c r="G12" i="2"/>
  <c r="F12" i="2"/>
  <c r="H11" i="2"/>
  <c r="G11" i="2"/>
  <c r="F11" i="2"/>
  <c r="G10" i="2"/>
  <c r="H10" i="2" s="1"/>
  <c r="F10" i="2"/>
  <c r="G9" i="2"/>
  <c r="F9" i="2"/>
  <c r="I8" i="2"/>
  <c r="H8" i="2"/>
  <c r="G8" i="2"/>
  <c r="F8" i="2"/>
  <c r="G7" i="2"/>
  <c r="F7" i="2"/>
  <c r="H6" i="2"/>
  <c r="G6" i="2"/>
  <c r="F6" i="2"/>
  <c r="E6" i="2"/>
  <c r="G5" i="2"/>
  <c r="F5" i="2"/>
  <c r="E5" i="2"/>
  <c r="E20" i="2" s="1" a="1"/>
  <c r="E20" i="2" s="1"/>
  <c r="A5" i="2"/>
  <c r="E7" i="2" s="1"/>
  <c r="C14" i="1"/>
  <c r="B14" i="1"/>
  <c r="F13" i="1"/>
  <c r="N13" i="1" s="1"/>
  <c r="V13" i="1" s="1"/>
  <c r="N28" i="1" s="1"/>
  <c r="F12" i="1"/>
  <c r="N12" i="1" s="1"/>
  <c r="F11" i="1"/>
  <c r="N11" i="1" s="1"/>
  <c r="N10" i="1"/>
  <c r="V10" i="1" s="1"/>
  <c r="N25" i="1" s="1"/>
  <c r="F10" i="1"/>
  <c r="F9" i="1"/>
  <c r="N9" i="1" s="1"/>
  <c r="V9" i="1" s="1"/>
  <c r="F8" i="1"/>
  <c r="N8" i="1" s="1"/>
  <c r="V8" i="1" s="1"/>
  <c r="N23" i="1" s="1"/>
  <c r="V23" i="1" s="1"/>
  <c r="F7" i="1"/>
  <c r="N7" i="1" s="1"/>
  <c r="F6" i="1"/>
  <c r="N6" i="1" s="1"/>
  <c r="F5" i="1"/>
  <c r="N5" i="1" s="1"/>
  <c r="A5" i="1"/>
  <c r="A6" i="1" s="1"/>
  <c r="F4" i="1"/>
  <c r="N4" i="1" s="1"/>
  <c r="E4" i="1"/>
  <c r="M4" i="1" s="1"/>
  <c r="U4" i="1" s="1"/>
  <c r="J14" i="1" l="1"/>
  <c r="J13" i="1"/>
  <c r="N24" i="1"/>
  <c r="V24" i="1" s="1"/>
  <c r="AD9" i="1"/>
  <c r="AL9" i="1" s="1"/>
  <c r="AT9" i="1" s="1"/>
  <c r="AD10" i="1"/>
  <c r="AL10" i="1" s="1"/>
  <c r="AT10" i="1" s="1"/>
  <c r="I35" i="5"/>
  <c r="J29" i="5"/>
  <c r="U32" i="5"/>
  <c r="X41" i="5" s="1"/>
  <c r="F56" i="5" a="1"/>
  <c r="F56" i="5" s="1"/>
  <c r="V6" i="1"/>
  <c r="V7" i="1"/>
  <c r="M19" i="1"/>
  <c r="U19" i="1" s="1"/>
  <c r="AC4" i="1"/>
  <c r="AK4" i="1" s="1"/>
  <c r="AS4" i="1" s="1"/>
  <c r="V25" i="1"/>
  <c r="V4" i="1"/>
  <c r="A7" i="1"/>
  <c r="E6" i="1"/>
  <c r="V5" i="1"/>
  <c r="E5" i="1"/>
  <c r="V11" i="1"/>
  <c r="V12" i="1"/>
  <c r="AD13" i="1"/>
  <c r="I10" i="2"/>
  <c r="I11" i="2"/>
  <c r="H14" i="2"/>
  <c r="I14" i="2" s="1"/>
  <c r="V28" i="1"/>
  <c r="G4" i="1"/>
  <c r="H4" i="1" s="1"/>
  <c r="I7" i="2"/>
  <c r="H7" i="2"/>
  <c r="I15" i="2"/>
  <c r="H15" i="2"/>
  <c r="F83" i="5"/>
  <c r="L71" i="5"/>
  <c r="I9" i="2"/>
  <c r="H9" i="2"/>
  <c r="AD8" i="1"/>
  <c r="I6" i="2"/>
  <c r="I12" i="2"/>
  <c r="A6" i="2"/>
  <c r="F16" i="2"/>
  <c r="G16" i="2"/>
  <c r="AC8" i="2" s="1"/>
  <c r="E17" i="3"/>
  <c r="E16" i="3"/>
  <c r="K10" i="5"/>
  <c r="K8" i="5"/>
  <c r="N79" i="5"/>
  <c r="K9" i="5"/>
  <c r="J10" i="5"/>
  <c r="J18" i="5" s="1"/>
  <c r="K13" i="5"/>
  <c r="J16" i="5"/>
  <c r="N77" i="5"/>
  <c r="M77" i="5"/>
  <c r="F22" i="5" a="1"/>
  <c r="I18" i="5"/>
  <c r="AF8" i="5" s="1"/>
  <c r="K7" i="5"/>
  <c r="K12" i="5"/>
  <c r="J13" i="5"/>
  <c r="I76" i="5"/>
  <c r="D76" i="5"/>
  <c r="J76" i="5" s="1"/>
  <c r="AG8" i="5"/>
  <c r="AD31" i="5"/>
  <c r="H89" i="5"/>
  <c r="H88" i="5"/>
  <c r="K83" i="5"/>
  <c r="N71" i="5"/>
  <c r="M76" i="5"/>
  <c r="N76" i="5" s="1"/>
  <c r="F118" i="5"/>
  <c r="J14" i="5"/>
  <c r="K14" i="5" s="1"/>
  <c r="J17" i="5"/>
  <c r="K17" i="5" s="1"/>
  <c r="M71" i="5"/>
  <c r="M72" i="5"/>
  <c r="N78" i="5"/>
  <c r="J15" i="5"/>
  <c r="K15" i="5" s="1"/>
  <c r="M74" i="5"/>
  <c r="N74" i="5" s="1"/>
  <c r="M79" i="5"/>
  <c r="H87" i="5"/>
  <c r="Y74" i="5"/>
  <c r="I80" i="5"/>
  <c r="D80" i="5"/>
  <c r="J80" i="5" s="1"/>
  <c r="E118" i="5"/>
  <c r="M75" i="5"/>
  <c r="M78" i="5"/>
  <c r="M73" i="5"/>
  <c r="D81" i="5"/>
  <c r="J81" i="5" s="1"/>
  <c r="M81" i="5"/>
  <c r="D82" i="5"/>
  <c r="M82" i="5"/>
  <c r="N82" i="5" s="1"/>
  <c r="AC31" i="5" l="1"/>
  <c r="G52" i="5"/>
  <c r="J50" i="5"/>
  <c r="I11" i="3"/>
  <c r="J11" i="3" s="1"/>
  <c r="H52" i="5"/>
  <c r="AD52" i="5" s="1"/>
  <c r="AI73" i="5"/>
  <c r="N20" i="1"/>
  <c r="AD5" i="1"/>
  <c r="J51" i="5"/>
  <c r="L83" i="5"/>
  <c r="AJ73" i="5" s="1"/>
  <c r="H16" i="2"/>
  <c r="N26" i="1"/>
  <c r="AD11" i="1"/>
  <c r="N21" i="1"/>
  <c r="AD6" i="1"/>
  <c r="I7" i="3"/>
  <c r="J7" i="3" s="1"/>
  <c r="U53" i="5"/>
  <c r="X62" i="5" s="1"/>
  <c r="J82" i="5"/>
  <c r="F23" i="5"/>
  <c r="F22" i="5"/>
  <c r="M5" i="1"/>
  <c r="U5" i="1" s="1"/>
  <c r="G5" i="1"/>
  <c r="H5" i="1" s="1"/>
  <c r="AD12" i="1"/>
  <c r="N27" i="1"/>
  <c r="N73" i="5"/>
  <c r="N75" i="5"/>
  <c r="AE83" i="5"/>
  <c r="AB83" i="5"/>
  <c r="M6" i="1"/>
  <c r="U6" i="1" s="1"/>
  <c r="G6" i="1"/>
  <c r="H6" i="1" s="1"/>
  <c r="I9" i="3"/>
  <c r="J9" i="3" s="1"/>
  <c r="G12" i="3"/>
  <c r="I6" i="3"/>
  <c r="I8" i="3"/>
  <c r="N72" i="5"/>
  <c r="A7" i="2"/>
  <c r="E8" i="2"/>
  <c r="AL8" i="1"/>
  <c r="AL13" i="1"/>
  <c r="E7" i="1"/>
  <c r="A8" i="1"/>
  <c r="L15" i="5"/>
  <c r="P15" i="5" s="1"/>
  <c r="L17" i="5"/>
  <c r="L14" i="5"/>
  <c r="P14" i="5" s="1"/>
  <c r="L8" i="5"/>
  <c r="L13" i="5"/>
  <c r="P13" i="5" s="1"/>
  <c r="L10" i="5"/>
  <c r="P10" i="5" s="1"/>
  <c r="L16" i="5"/>
  <c r="P16" i="5" s="1"/>
  <c r="G21" i="5" a="1"/>
  <c r="L11" i="5"/>
  <c r="L12" i="5"/>
  <c r="O12" i="5" s="1"/>
  <c r="L9" i="5"/>
  <c r="O9" i="5" s="1"/>
  <c r="L7" i="5"/>
  <c r="L6" i="5"/>
  <c r="X6" i="5" s="1" a="1"/>
  <c r="M83" i="5"/>
  <c r="Y70" i="5" s="1"/>
  <c r="N81" i="5"/>
  <c r="K16" i="5"/>
  <c r="N19" i="1"/>
  <c r="AD4" i="1"/>
  <c r="U9" i="3"/>
  <c r="I10" i="3"/>
  <c r="J10" i="3" s="1"/>
  <c r="AB8" i="2"/>
  <c r="N22" i="1"/>
  <c r="AD7" i="1"/>
  <c r="H12" i="3"/>
  <c r="AE8" i="3" s="1"/>
  <c r="O16" i="5" l="1"/>
  <c r="X7" i="5"/>
  <c r="X8" i="5"/>
  <c r="Y7" i="5"/>
  <c r="Z7" i="5"/>
  <c r="X6" i="5"/>
  <c r="AB6" i="5" s="1" a="1"/>
  <c r="Y8" i="5"/>
  <c r="Z6" i="5"/>
  <c r="Y6" i="5"/>
  <c r="Z8" i="5"/>
  <c r="M13" i="5"/>
  <c r="N13" i="5" s="1"/>
  <c r="K34" i="5"/>
  <c r="K30" i="5"/>
  <c r="K32" i="5"/>
  <c r="K33" i="5"/>
  <c r="K29" i="5"/>
  <c r="W29" i="5" s="1" a="1"/>
  <c r="G38" i="5" a="1"/>
  <c r="K31" i="5"/>
  <c r="U28" i="5"/>
  <c r="AL7" i="5"/>
  <c r="AM7" i="5"/>
  <c r="V19" i="1"/>
  <c r="I12" i="3"/>
  <c r="V21" i="1"/>
  <c r="AL7" i="1"/>
  <c r="AT13" i="1"/>
  <c r="J6" i="3"/>
  <c r="AE31" i="5"/>
  <c r="M10" i="5"/>
  <c r="AC52" i="5"/>
  <c r="M7" i="1"/>
  <c r="U7" i="1" s="1"/>
  <c r="G7" i="1"/>
  <c r="H7" i="1" s="1"/>
  <c r="V22" i="1"/>
  <c r="AF6" i="5"/>
  <c r="AF7" i="5" s="1"/>
  <c r="AF10" i="5" s="1"/>
  <c r="AE6" i="5"/>
  <c r="P6" i="5"/>
  <c r="M6" i="5"/>
  <c r="O6" i="5"/>
  <c r="AD8" i="3"/>
  <c r="U5" i="3"/>
  <c r="O13" i="5"/>
  <c r="O14" i="5"/>
  <c r="AL11" i="1"/>
  <c r="AK73" i="5"/>
  <c r="P8" i="5"/>
  <c r="M8" i="5"/>
  <c r="O8" i="5"/>
  <c r="M14" i="5"/>
  <c r="V26" i="1"/>
  <c r="O10" i="5"/>
  <c r="AL5" i="1"/>
  <c r="K23" i="3"/>
  <c r="K10" i="3"/>
  <c r="O10" i="3" s="1"/>
  <c r="K9" i="3"/>
  <c r="O9" i="3" s="1"/>
  <c r="K6" i="3"/>
  <c r="W6" i="3" s="1" a="1"/>
  <c r="F15" i="3" a="1"/>
  <c r="K8" i="3"/>
  <c r="O8" i="3" s="1"/>
  <c r="K24" i="3"/>
  <c r="K11" i="3"/>
  <c r="N11" i="3" s="1"/>
  <c r="K7" i="3"/>
  <c r="O7" i="3" s="1"/>
  <c r="P7" i="5"/>
  <c r="M7" i="5"/>
  <c r="P9" i="5"/>
  <c r="M9" i="5"/>
  <c r="AT8" i="1"/>
  <c r="M15" i="5"/>
  <c r="M16" i="5"/>
  <c r="P12" i="5"/>
  <c r="M12" i="5"/>
  <c r="P17" i="5"/>
  <c r="O15" i="5"/>
  <c r="V27" i="1"/>
  <c r="M20" i="1"/>
  <c r="U20" i="1" s="1"/>
  <c r="AC5" i="1"/>
  <c r="AK5" i="1" s="1"/>
  <c r="AS5" i="1" s="1"/>
  <c r="O17" i="5"/>
  <c r="V20" i="1"/>
  <c r="A8" i="2"/>
  <c r="E9" i="2"/>
  <c r="AL12" i="1"/>
  <c r="M17" i="5"/>
  <c r="G55" i="5" a="1"/>
  <c r="K51" i="5"/>
  <c r="K50" i="5"/>
  <c r="P11" i="5"/>
  <c r="M11" i="5"/>
  <c r="O11" i="5"/>
  <c r="AD8" i="2"/>
  <c r="AL4" i="1"/>
  <c r="G23" i="5"/>
  <c r="G22" i="5"/>
  <c r="G21" i="5"/>
  <c r="A9" i="1"/>
  <c r="E8" i="1"/>
  <c r="J8" i="3"/>
  <c r="M21" i="1"/>
  <c r="U21" i="1" s="1"/>
  <c r="AC6" i="1"/>
  <c r="AK6" i="1" s="1"/>
  <c r="AS6" i="1" s="1"/>
  <c r="AL6" i="1"/>
  <c r="I52" i="5"/>
  <c r="O7" i="5"/>
  <c r="L7" i="3" l="1"/>
  <c r="M7" i="3" s="1"/>
  <c r="W29" i="5"/>
  <c r="Z29" i="5" s="1" a="1"/>
  <c r="X30" i="5"/>
  <c r="X29" i="5"/>
  <c r="W30" i="5"/>
  <c r="N8" i="3"/>
  <c r="L8" i="3"/>
  <c r="M8" i="3" s="1"/>
  <c r="L6" i="3"/>
  <c r="AB7" i="5"/>
  <c r="AB8" i="5"/>
  <c r="AB6" i="5"/>
  <c r="L11" i="3"/>
  <c r="L50" i="5"/>
  <c r="W50" i="5" a="1"/>
  <c r="X7" i="3"/>
  <c r="Y7" i="3"/>
  <c r="X8" i="3"/>
  <c r="Y8" i="3"/>
  <c r="W8" i="3"/>
  <c r="W7" i="3"/>
  <c r="Y6" i="3"/>
  <c r="X6" i="3"/>
  <c r="W6" i="3"/>
  <c r="AA6" i="3" s="1" a="1"/>
  <c r="N6" i="3"/>
  <c r="O34" i="5"/>
  <c r="N34" i="5"/>
  <c r="L34" i="5"/>
  <c r="M34" i="5" s="1"/>
  <c r="O31" i="5"/>
  <c r="L31" i="5"/>
  <c r="M31" i="5" s="1"/>
  <c r="N31" i="5"/>
  <c r="G39" i="5"/>
  <c r="G38" i="5"/>
  <c r="O29" i="5"/>
  <c r="L29" i="5"/>
  <c r="N29" i="5"/>
  <c r="O33" i="5"/>
  <c r="L33" i="5"/>
  <c r="M33" i="5" s="1"/>
  <c r="N33" i="5"/>
  <c r="O32" i="5"/>
  <c r="N32" i="5"/>
  <c r="L32" i="5"/>
  <c r="M32" i="5" s="1"/>
  <c r="O30" i="5"/>
  <c r="L30" i="5"/>
  <c r="M30" i="5" s="1"/>
  <c r="N30" i="5"/>
  <c r="N50" i="5"/>
  <c r="AL7" i="3"/>
  <c r="AK7" i="3"/>
  <c r="AK30" i="5"/>
  <c r="AJ30" i="5"/>
  <c r="AK51" i="5"/>
  <c r="AJ51" i="5"/>
  <c r="M50" i="5"/>
  <c r="AG10" i="5"/>
  <c r="AE10" i="5"/>
  <c r="AG6" i="5"/>
  <c r="AE7" i="5"/>
  <c r="AG7" i="5" s="1"/>
  <c r="N10" i="5"/>
  <c r="E9" i="1"/>
  <c r="A10" i="1"/>
  <c r="N17" i="5"/>
  <c r="N7" i="5"/>
  <c r="K23" i="5"/>
  <c r="AT12" i="1"/>
  <c r="N16" i="5"/>
  <c r="N9" i="5"/>
  <c r="O11" i="3"/>
  <c r="AT5" i="1"/>
  <c r="AF8" i="3"/>
  <c r="AD29" i="5"/>
  <c r="AD30" i="5" s="1"/>
  <c r="AD33" i="5" s="1"/>
  <c r="AC29" i="5"/>
  <c r="M6" i="3"/>
  <c r="A9" i="2"/>
  <c r="E10" i="2"/>
  <c r="N15" i="5"/>
  <c r="N14" i="5"/>
  <c r="AT4" i="1"/>
  <c r="AD50" i="5"/>
  <c r="AD51" i="5" s="1"/>
  <c r="AD54" i="5" s="1"/>
  <c r="AC50" i="5"/>
  <c r="AC51" i="5" s="1"/>
  <c r="O50" i="5"/>
  <c r="O52" i="5" s="1"/>
  <c r="AT7" i="1"/>
  <c r="N12" i="5"/>
  <c r="AT6" i="1"/>
  <c r="N11" i="5"/>
  <c r="O51" i="5"/>
  <c r="L51" i="5"/>
  <c r="L52" i="5" s="1"/>
  <c r="N9" i="3"/>
  <c r="N10" i="3"/>
  <c r="O18" i="5"/>
  <c r="V6" i="5" s="1"/>
  <c r="O82" i="5"/>
  <c r="O81" i="5"/>
  <c r="O73" i="5"/>
  <c r="O80" i="5"/>
  <c r="O76" i="5"/>
  <c r="I86" i="5" a="1"/>
  <c r="O79" i="5"/>
  <c r="O72" i="5"/>
  <c r="O77" i="5"/>
  <c r="O71" i="5"/>
  <c r="AA71" i="5" s="1" a="1"/>
  <c r="O75" i="5"/>
  <c r="O74" i="5"/>
  <c r="O78" i="5"/>
  <c r="K21" i="5"/>
  <c r="N8" i="5"/>
  <c r="M11" i="3"/>
  <c r="G55" i="5"/>
  <c r="G56" i="5"/>
  <c r="L9" i="3"/>
  <c r="L12" i="3" s="1"/>
  <c r="L10" i="3"/>
  <c r="F17" i="3"/>
  <c r="F16" i="3"/>
  <c r="F15" i="3"/>
  <c r="M18" i="5"/>
  <c r="N6" i="5"/>
  <c r="M22" i="1"/>
  <c r="U22" i="1" s="1"/>
  <c r="AC7" i="1"/>
  <c r="AK7" i="1" s="1"/>
  <c r="AS7" i="1" s="1"/>
  <c r="U49" i="5"/>
  <c r="AM8" i="5"/>
  <c r="K22" i="5"/>
  <c r="N7" i="3"/>
  <c r="N12" i="3" s="1"/>
  <c r="U6" i="3" s="1"/>
  <c r="M8" i="1"/>
  <c r="U8" i="1" s="1"/>
  <c r="G8" i="1"/>
  <c r="H8" i="1" s="1"/>
  <c r="AE6" i="3"/>
  <c r="AE7" i="3" s="1"/>
  <c r="AE10" i="3" s="1"/>
  <c r="AD6" i="3"/>
  <c r="AD7" i="3" s="1"/>
  <c r="O6" i="3"/>
  <c r="O12" i="3" s="1"/>
  <c r="AT11" i="1"/>
  <c r="P18" i="5"/>
  <c r="AE52" i="5"/>
  <c r="N51" i="5"/>
  <c r="AL8" i="5"/>
  <c r="AA8" i="3" l="1"/>
  <c r="AA6" i="3"/>
  <c r="AA7" i="3"/>
  <c r="AF7" i="3"/>
  <c r="AC74" i="5"/>
  <c r="AC72" i="5"/>
  <c r="AA74" i="5"/>
  <c r="AA72" i="5"/>
  <c r="AB73" i="5"/>
  <c r="AB71" i="5"/>
  <c r="AD74" i="5"/>
  <c r="AD72" i="5"/>
  <c r="AA73" i="5"/>
  <c r="AB72" i="5"/>
  <c r="AD71" i="5"/>
  <c r="AC71" i="5"/>
  <c r="AA71" i="5"/>
  <c r="AF71" i="5" s="1" a="1"/>
  <c r="AB74" i="5"/>
  <c r="AD73" i="5"/>
  <c r="AC73" i="5"/>
  <c r="V18" i="5"/>
  <c r="V15" i="5"/>
  <c r="V16" i="5" s="1"/>
  <c r="V14" i="5"/>
  <c r="V17" i="5"/>
  <c r="V8" i="5"/>
  <c r="V10" i="5" s="1"/>
  <c r="V12" i="5" s="1"/>
  <c r="X51" i="5"/>
  <c r="W50" i="5"/>
  <c r="Z50" i="5" s="1" a="1"/>
  <c r="X50" i="5"/>
  <c r="W51" i="5"/>
  <c r="U17" i="3"/>
  <c r="Z30" i="5"/>
  <c r="Z29" i="5"/>
  <c r="N52" i="5"/>
  <c r="U50" i="5" s="1"/>
  <c r="U52" i="5" s="1"/>
  <c r="U54" i="5" s="1"/>
  <c r="U56" i="5" s="1"/>
  <c r="K38" i="5"/>
  <c r="K39" i="5"/>
  <c r="N35" i="5"/>
  <c r="U29" i="5" s="1"/>
  <c r="U31" i="5" s="1"/>
  <c r="U33" i="5" s="1"/>
  <c r="U35" i="5" s="1"/>
  <c r="L35" i="5"/>
  <c r="M29" i="5"/>
  <c r="M35" i="5" s="1"/>
  <c r="O35" i="5"/>
  <c r="AE51" i="5"/>
  <c r="AP72" i="5"/>
  <c r="AQ72" i="5"/>
  <c r="U8" i="3"/>
  <c r="U10" i="3" s="1"/>
  <c r="U12" i="3" s="1"/>
  <c r="U14" i="3"/>
  <c r="U15" i="3"/>
  <c r="U16" i="3" s="1"/>
  <c r="AL8" i="3"/>
  <c r="J17" i="3"/>
  <c r="S74" i="5"/>
  <c r="R74" i="5"/>
  <c r="P74" i="5"/>
  <c r="S80" i="5"/>
  <c r="P80" i="5"/>
  <c r="R80" i="5"/>
  <c r="X59" i="5"/>
  <c r="X38" i="5"/>
  <c r="AB79" i="5"/>
  <c r="G9" i="1"/>
  <c r="H9" i="1" s="1"/>
  <c r="M9" i="1"/>
  <c r="U9" i="1" s="1"/>
  <c r="AK52" i="5"/>
  <c r="M10" i="3"/>
  <c r="S75" i="5"/>
  <c r="P75" i="5"/>
  <c r="R75" i="5"/>
  <c r="S73" i="5"/>
  <c r="P73" i="5"/>
  <c r="R73" i="5"/>
  <c r="E11" i="2"/>
  <c r="A10" i="2"/>
  <c r="AK31" i="5"/>
  <c r="AL9" i="5"/>
  <c r="M9" i="3"/>
  <c r="AI71" i="5"/>
  <c r="S71" i="5"/>
  <c r="AJ71" i="5"/>
  <c r="AJ72" i="5" s="1"/>
  <c r="AJ75" i="5" s="1"/>
  <c r="R71" i="5"/>
  <c r="P71" i="5"/>
  <c r="S81" i="5"/>
  <c r="P81" i="5"/>
  <c r="R81" i="5"/>
  <c r="M12" i="3"/>
  <c r="S78" i="5"/>
  <c r="R78" i="5"/>
  <c r="P78" i="5"/>
  <c r="AF10" i="3"/>
  <c r="AD10" i="3"/>
  <c r="AF6" i="3"/>
  <c r="N18" i="5"/>
  <c r="S77" i="5"/>
  <c r="R77" i="5"/>
  <c r="P77" i="5"/>
  <c r="S82" i="5"/>
  <c r="R82" i="5"/>
  <c r="P82" i="5"/>
  <c r="M51" i="5"/>
  <c r="J16" i="3"/>
  <c r="S72" i="5"/>
  <c r="P72" i="5"/>
  <c r="R72" i="5"/>
  <c r="AE54" i="5"/>
  <c r="AE50" i="5"/>
  <c r="AC54" i="5"/>
  <c r="AM9" i="5"/>
  <c r="K56" i="5"/>
  <c r="S79" i="5"/>
  <c r="R79" i="5"/>
  <c r="P79" i="5"/>
  <c r="AE29" i="5"/>
  <c r="AE33" i="5"/>
  <c r="AC33" i="5"/>
  <c r="AC30" i="5"/>
  <c r="AE30" i="5" s="1"/>
  <c r="S76" i="5"/>
  <c r="R76" i="5"/>
  <c r="P76" i="5"/>
  <c r="M23" i="1"/>
  <c r="U23" i="1" s="1"/>
  <c r="AC8" i="1"/>
  <c r="AK8" i="1" s="1"/>
  <c r="AS8" i="1" s="1"/>
  <c r="J15" i="3"/>
  <c r="K55" i="5"/>
  <c r="I89" i="5"/>
  <c r="I88" i="5"/>
  <c r="I87" i="5"/>
  <c r="I86" i="5"/>
  <c r="A11" i="1"/>
  <c r="E10" i="1"/>
  <c r="AJ52" i="5"/>
  <c r="AL51" i="5" s="1"/>
  <c r="AJ31" i="5"/>
  <c r="AK8" i="3"/>
  <c r="U38" i="5" l="1"/>
  <c r="U39" i="5" s="1"/>
  <c r="X37" i="5"/>
  <c r="U37" i="5"/>
  <c r="U59" i="5"/>
  <c r="U60" i="5" s="1"/>
  <c r="U58" i="5"/>
  <c r="AE79" i="5"/>
  <c r="U40" i="5"/>
  <c r="U41" i="5"/>
  <c r="Z50" i="5"/>
  <c r="Z51" i="5"/>
  <c r="X58" i="5"/>
  <c r="X61" i="5" s="1"/>
  <c r="X63" i="5" s="1"/>
  <c r="X65" i="5" s="1"/>
  <c r="U61" i="5"/>
  <c r="U62" i="5"/>
  <c r="AF74" i="5"/>
  <c r="AF71" i="5"/>
  <c r="AF73" i="5"/>
  <c r="AF72" i="5"/>
  <c r="M52" i="5"/>
  <c r="G30" i="3"/>
  <c r="G29" i="3"/>
  <c r="M86" i="5"/>
  <c r="Q77" i="5"/>
  <c r="P83" i="5"/>
  <c r="Q71" i="5"/>
  <c r="AL10" i="5"/>
  <c r="AQ73" i="5"/>
  <c r="AL52" i="5"/>
  <c r="AL50" i="5"/>
  <c r="M10" i="1"/>
  <c r="U10" i="1" s="1"/>
  <c r="G10" i="1"/>
  <c r="H10" i="1" s="1"/>
  <c r="M87" i="5"/>
  <c r="R83" i="5"/>
  <c r="Y71" i="5" s="1"/>
  <c r="E12" i="2"/>
  <c r="A11" i="2"/>
  <c r="Q75" i="5"/>
  <c r="X40" i="5"/>
  <c r="X42" i="5" s="1"/>
  <c r="X44" i="5" s="1"/>
  <c r="AC9" i="1"/>
  <c r="AK9" i="1" s="1"/>
  <c r="AS9" i="1" s="1"/>
  <c r="M24" i="1"/>
  <c r="U24" i="1" s="1"/>
  <c r="A12" i="1"/>
  <c r="E11" i="1"/>
  <c r="Q78" i="5"/>
  <c r="S83" i="5"/>
  <c r="Q76" i="5"/>
  <c r="AI75" i="5"/>
  <c r="AK75" i="5"/>
  <c r="AK71" i="5"/>
  <c r="AI72" i="5"/>
  <c r="AK72" i="5" s="1"/>
  <c r="Q80" i="5"/>
  <c r="M88" i="5"/>
  <c r="M89" i="5"/>
  <c r="Q79" i="5"/>
  <c r="Q72" i="5"/>
  <c r="Q82" i="5"/>
  <c r="AM52" i="5"/>
  <c r="AM50" i="5"/>
  <c r="AP73" i="5"/>
  <c r="AM10" i="5"/>
  <c r="AK9" i="3"/>
  <c r="AJ32" i="5"/>
  <c r="Q81" i="5"/>
  <c r="AK32" i="5"/>
  <c r="Q73" i="5"/>
  <c r="AM51" i="5"/>
  <c r="Q74" i="5"/>
  <c r="AL9" i="3"/>
  <c r="Y83" i="5" l="1"/>
  <c r="Y82" i="5"/>
  <c r="AN52" i="5"/>
  <c r="AP74" i="5"/>
  <c r="AN51" i="5"/>
  <c r="AQ74" i="5"/>
  <c r="AK10" i="3"/>
  <c r="M11" i="1"/>
  <c r="U11" i="1" s="1"/>
  <c r="G11" i="1"/>
  <c r="H11" i="1" s="1"/>
  <c r="E13" i="2"/>
  <c r="A12" i="2"/>
  <c r="AL11" i="5"/>
  <c r="AJ33" i="5"/>
  <c r="A13" i="1"/>
  <c r="E13" i="1" s="1"/>
  <c r="E12" i="1"/>
  <c r="M25" i="1"/>
  <c r="U25" i="1" s="1"/>
  <c r="AC10" i="1"/>
  <c r="AK10" i="1" s="1"/>
  <c r="AS10" i="1" s="1"/>
  <c r="Q83" i="5"/>
  <c r="AK33" i="5"/>
  <c r="AL10" i="3"/>
  <c r="AM11" i="5"/>
  <c r="Y79" i="5"/>
  <c r="AE80" i="5"/>
  <c r="AE82" i="5" s="1"/>
  <c r="AE84" i="5" s="1"/>
  <c r="AE86" i="5" s="1"/>
  <c r="Y73" i="5"/>
  <c r="Y75" i="5" s="1"/>
  <c r="Y77" i="5" s="1"/>
  <c r="AB80" i="5"/>
  <c r="AB82" i="5" s="1"/>
  <c r="AB84" i="5" s="1"/>
  <c r="AB86" i="5" s="1"/>
  <c r="Y80" i="5"/>
  <c r="Y81" i="5" s="1"/>
  <c r="AN50" i="5"/>
  <c r="AN53" i="5" s="1"/>
  <c r="AJ34" i="5" l="1"/>
  <c r="AK11" i="3"/>
  <c r="AK34" i="5"/>
  <c r="AQ75" i="5"/>
  <c r="E14" i="2"/>
  <c r="A13" i="2"/>
  <c r="AM12" i="5"/>
  <c r="G12" i="1"/>
  <c r="M12" i="1"/>
  <c r="U12" i="1" s="1"/>
  <c r="AP75" i="5"/>
  <c r="AL12" i="5"/>
  <c r="AL11" i="3"/>
  <c r="G13" i="1"/>
  <c r="H13" i="1" s="1"/>
  <c r="M13" i="1"/>
  <c r="M26" i="1"/>
  <c r="U26" i="1" s="1"/>
  <c r="AC11" i="1"/>
  <c r="AK11" i="1" s="1"/>
  <c r="AS11" i="1" s="1"/>
  <c r="AQ76" i="5" l="1"/>
  <c r="M27" i="1"/>
  <c r="U27" i="1" s="1"/>
  <c r="AC12" i="1"/>
  <c r="AK12" i="1" s="1"/>
  <c r="AS12" i="1" s="1"/>
  <c r="AK35" i="5"/>
  <c r="H12" i="1"/>
  <c r="H14" i="1" s="1"/>
  <c r="AM13" i="5"/>
  <c r="U13" i="1"/>
  <c r="AL12" i="3"/>
  <c r="AK12" i="3"/>
  <c r="AM11" i="3"/>
  <c r="E15" i="2"/>
  <c r="AJ35" i="5"/>
  <c r="AP76" i="5"/>
  <c r="AL13" i="5"/>
  <c r="R5" i="1" l="1" a="1"/>
  <c r="AP77" i="5"/>
  <c r="M28" i="1"/>
  <c r="AC13" i="1"/>
  <c r="AL35" i="5"/>
  <c r="AL29" i="5"/>
  <c r="AL30" i="5"/>
  <c r="AL31" i="5"/>
  <c r="AL32" i="5"/>
  <c r="AL33" i="5"/>
  <c r="AM14" i="5"/>
  <c r="AQ77" i="5"/>
  <c r="AL34" i="5"/>
  <c r="AM35" i="5"/>
  <c r="AM29" i="5"/>
  <c r="AM30" i="5"/>
  <c r="AM31" i="5"/>
  <c r="AM32" i="5"/>
  <c r="AM33" i="5"/>
  <c r="AN6" i="3"/>
  <c r="AN12" i="3"/>
  <c r="AN7" i="3"/>
  <c r="AN8" i="3"/>
  <c r="AN9" i="3"/>
  <c r="AN10" i="3"/>
  <c r="AL14" i="5"/>
  <c r="AM6" i="3"/>
  <c r="AM12" i="3"/>
  <c r="AM7" i="3"/>
  <c r="AM8" i="3"/>
  <c r="AM9" i="3"/>
  <c r="AM10" i="3"/>
  <c r="AO10" i="3" s="1"/>
  <c r="AN11" i="3"/>
  <c r="AM34" i="5"/>
  <c r="AO12" i="3" l="1"/>
  <c r="AO7" i="3"/>
  <c r="AO11" i="3"/>
  <c r="AO9" i="3"/>
  <c r="AM15" i="5"/>
  <c r="U28" i="1"/>
  <c r="AK13" i="1"/>
  <c r="AO8" i="3"/>
  <c r="AN33" i="5"/>
  <c r="AP78" i="5"/>
  <c r="AN32" i="5"/>
  <c r="AN31" i="5"/>
  <c r="F19" i="2" a="1"/>
  <c r="J10" i="2"/>
  <c r="J9" i="2"/>
  <c r="J15" i="2"/>
  <c r="J14" i="2"/>
  <c r="J7" i="2"/>
  <c r="J13" i="2"/>
  <c r="J12" i="2"/>
  <c r="J11" i="2"/>
  <c r="J6" i="2"/>
  <c r="V6" i="2" s="1" a="1"/>
  <c r="J8" i="2"/>
  <c r="AO6" i="3"/>
  <c r="AO13" i="3" s="1"/>
  <c r="AN34" i="5"/>
  <c r="AN30" i="5"/>
  <c r="AQ78" i="5"/>
  <c r="AN29" i="5"/>
  <c r="R6" i="1"/>
  <c r="R5" i="1"/>
  <c r="AL15" i="5"/>
  <c r="AN35" i="5"/>
  <c r="V7" i="2" l="1"/>
  <c r="W6" i="2"/>
  <c r="V6" i="2"/>
  <c r="Y6" i="2" s="1" a="1"/>
  <c r="W7" i="2"/>
  <c r="AN36" i="5"/>
  <c r="AJ7" i="2"/>
  <c r="AI7" i="2"/>
  <c r="AL16" i="5"/>
  <c r="N9" i="2"/>
  <c r="K9" i="2"/>
  <c r="L9" i="2" s="1"/>
  <c r="M9" i="2"/>
  <c r="N15" i="2"/>
  <c r="K15" i="2"/>
  <c r="L15" i="2" s="1"/>
  <c r="M15" i="2"/>
  <c r="N6" i="2"/>
  <c r="AB6" i="2"/>
  <c r="AC6" i="2"/>
  <c r="AC7" i="2" s="1"/>
  <c r="AC10" i="2" s="1"/>
  <c r="K6" i="2"/>
  <c r="M6" i="2"/>
  <c r="N10" i="2"/>
  <c r="K10" i="2"/>
  <c r="L10" i="2" s="1"/>
  <c r="M10" i="2"/>
  <c r="AS13" i="1"/>
  <c r="N8" i="2"/>
  <c r="M8" i="2"/>
  <c r="K8" i="2"/>
  <c r="L8" i="2" s="1"/>
  <c r="N11" i="2"/>
  <c r="M11" i="2"/>
  <c r="K11" i="2"/>
  <c r="L11" i="2" s="1"/>
  <c r="F20" i="2"/>
  <c r="F19" i="2"/>
  <c r="N14" i="2"/>
  <c r="K14" i="2"/>
  <c r="L14" i="2" s="1"/>
  <c r="M14" i="2"/>
  <c r="AQ79" i="5"/>
  <c r="N12" i="2"/>
  <c r="K12" i="2"/>
  <c r="L12" i="2" s="1"/>
  <c r="M12" i="2"/>
  <c r="N13" i="2"/>
  <c r="M13" i="2"/>
  <c r="K13" i="2"/>
  <c r="L13" i="2" s="1"/>
  <c r="AM16" i="5"/>
  <c r="O13" i="1"/>
  <c r="P13" i="1" s="1"/>
  <c r="O9" i="1"/>
  <c r="P9" i="1" s="1"/>
  <c r="O12" i="1"/>
  <c r="P12" i="1" s="1"/>
  <c r="O6" i="1"/>
  <c r="P6" i="1" s="1"/>
  <c r="O5" i="1"/>
  <c r="P5" i="1" s="1"/>
  <c r="O10" i="1"/>
  <c r="P10" i="1" s="1"/>
  <c r="O4" i="1"/>
  <c r="O11" i="1"/>
  <c r="P11" i="1" s="1"/>
  <c r="O7" i="1"/>
  <c r="P7" i="1" s="1"/>
  <c r="O8" i="1"/>
  <c r="P8" i="1" s="1"/>
  <c r="N7" i="2"/>
  <c r="K7" i="2"/>
  <c r="L7" i="2" s="1"/>
  <c r="M7" i="2"/>
  <c r="AP79" i="5"/>
  <c r="P4" i="1" l="1"/>
  <c r="P14" i="1" s="1"/>
  <c r="R9" i="1" a="1"/>
  <c r="Y7" i="2"/>
  <c r="Y6" i="2"/>
  <c r="N16" i="2"/>
  <c r="J20" i="2"/>
  <c r="AJ8" i="2"/>
  <c r="AL17" i="5"/>
  <c r="AI8" i="2"/>
  <c r="AD10" i="2"/>
  <c r="AB10" i="2"/>
  <c r="AD6" i="2"/>
  <c r="AB7" i="2"/>
  <c r="AD7" i="2" s="1"/>
  <c r="J19" i="2"/>
  <c r="AM17" i="5"/>
  <c r="AQ80" i="5"/>
  <c r="M16" i="2"/>
  <c r="T6" i="2" s="1"/>
  <c r="AP80" i="5"/>
  <c r="K16" i="2"/>
  <c r="L6" i="2"/>
  <c r="L16" i="2" s="1"/>
  <c r="S10" i="1" l="1"/>
  <c r="R10" i="1"/>
  <c r="S9" i="1"/>
  <c r="R9" i="1"/>
  <c r="R13" i="1" s="1" a="1"/>
  <c r="T18" i="2"/>
  <c r="T15" i="2"/>
  <c r="T16" i="2" s="1"/>
  <c r="T17" i="2"/>
  <c r="T8" i="2"/>
  <c r="T10" i="2" s="1"/>
  <c r="T12" i="2" s="1"/>
  <c r="T14" i="2"/>
  <c r="AP81" i="5"/>
  <c r="AJ9" i="2"/>
  <c r="AM18" i="5"/>
  <c r="AQ81" i="5"/>
  <c r="AI9" i="2"/>
  <c r="AL18" i="5"/>
  <c r="R14" i="1" l="1"/>
  <c r="R13" i="1"/>
  <c r="AN18" i="5"/>
  <c r="AN6" i="5"/>
  <c r="AN7" i="5"/>
  <c r="AN8" i="5"/>
  <c r="AN9" i="5"/>
  <c r="AN10" i="5"/>
  <c r="AN11" i="5"/>
  <c r="AN12" i="5"/>
  <c r="AN13" i="5"/>
  <c r="AN14" i="5"/>
  <c r="AN15" i="5"/>
  <c r="AN16" i="5"/>
  <c r="AI10" i="2"/>
  <c r="AP82" i="5"/>
  <c r="AO18" i="5"/>
  <c r="AO6" i="5"/>
  <c r="AO7" i="5"/>
  <c r="AO8" i="5"/>
  <c r="AO9" i="5"/>
  <c r="AO10" i="5"/>
  <c r="AO11" i="5"/>
  <c r="AO12" i="5"/>
  <c r="AO13" i="5"/>
  <c r="AO14" i="5"/>
  <c r="AO15" i="5"/>
  <c r="AO16" i="5"/>
  <c r="AN17" i="5"/>
  <c r="AO17" i="5"/>
  <c r="AQ82" i="5"/>
  <c r="AJ10" i="2"/>
  <c r="AP12" i="5" l="1"/>
  <c r="AP11" i="5"/>
  <c r="AP83" i="5"/>
  <c r="AR82" i="5" s="1"/>
  <c r="AP10" i="5"/>
  <c r="AP17" i="5"/>
  <c r="AI11" i="2"/>
  <c r="AP9" i="5"/>
  <c r="AQ83" i="5"/>
  <c r="AS82" i="5" s="1"/>
  <c r="AP16" i="5"/>
  <c r="AP8" i="5"/>
  <c r="AP15" i="5"/>
  <c r="AP7" i="5"/>
  <c r="AJ11" i="2"/>
  <c r="AP14" i="5"/>
  <c r="AP6" i="5"/>
  <c r="AP13" i="5"/>
  <c r="AP18" i="5"/>
  <c r="AI12" i="2" l="1"/>
  <c r="AJ12" i="2"/>
  <c r="AP19" i="5"/>
  <c r="AR83" i="5"/>
  <c r="AR71" i="5"/>
  <c r="AR72" i="5"/>
  <c r="AR73" i="5"/>
  <c r="AR74" i="5"/>
  <c r="AR75" i="5"/>
  <c r="AR76" i="5"/>
  <c r="AR77" i="5"/>
  <c r="AR78" i="5"/>
  <c r="AR79" i="5"/>
  <c r="AR80" i="5"/>
  <c r="AR81" i="5"/>
  <c r="AS71" i="5"/>
  <c r="AS83" i="5"/>
  <c r="AS72" i="5"/>
  <c r="AS73" i="5"/>
  <c r="AS74" i="5"/>
  <c r="AS75" i="5"/>
  <c r="AS76" i="5"/>
  <c r="AS77" i="5"/>
  <c r="AS78" i="5"/>
  <c r="AS79" i="5"/>
  <c r="AS80" i="5"/>
  <c r="AS81" i="5"/>
  <c r="AT71" i="5" l="1"/>
  <c r="AT83" i="5"/>
  <c r="AT79" i="5"/>
  <c r="AT77" i="5"/>
  <c r="AT78" i="5"/>
  <c r="AT76" i="5"/>
  <c r="AT82" i="5"/>
  <c r="AT75" i="5"/>
  <c r="AJ13" i="2"/>
  <c r="AT74" i="5"/>
  <c r="AT81" i="5"/>
  <c r="AT73" i="5"/>
  <c r="AI13" i="2"/>
  <c r="AT80" i="5"/>
  <c r="AT72" i="5"/>
  <c r="AT84" i="5" l="1"/>
  <c r="AJ14" i="2"/>
  <c r="AI14" i="2"/>
  <c r="AI15" i="2" l="1"/>
  <c r="AJ15" i="2"/>
  <c r="AJ16" i="2" l="1"/>
  <c r="AL15" i="2" s="1"/>
  <c r="AI16" i="2"/>
  <c r="AK15" i="2"/>
  <c r="AK6" i="2" l="1"/>
  <c r="AK16" i="2"/>
  <c r="AK7" i="2"/>
  <c r="AK8" i="2"/>
  <c r="AK9" i="2"/>
  <c r="AK10" i="2"/>
  <c r="AK11" i="2"/>
  <c r="AK12" i="2"/>
  <c r="AK13" i="2"/>
  <c r="AK14" i="2"/>
  <c r="AL6" i="2"/>
  <c r="AL16" i="2"/>
  <c r="AL7" i="2"/>
  <c r="AL8" i="2"/>
  <c r="AL9" i="2"/>
  <c r="AL10" i="2"/>
  <c r="AL11" i="2"/>
  <c r="AL12" i="2"/>
  <c r="AL13" i="2"/>
  <c r="AL14" i="2"/>
  <c r="AM11" i="2" l="1"/>
  <c r="AM10" i="2"/>
  <c r="AM8" i="2"/>
  <c r="AM7" i="2"/>
  <c r="AM14" i="2"/>
  <c r="AM16" i="2"/>
  <c r="AM13" i="2"/>
  <c r="AM6" i="2"/>
  <c r="AM17" i="2" s="1"/>
  <c r="AM9" i="2"/>
  <c r="AM12" i="2"/>
  <c r="AM15" i="2"/>
  <c r="I38" i="5" l="1"/>
  <c r="J38" i="5" s="1"/>
  <c r="M39" i="5" l="1"/>
  <c r="L39" i="5"/>
  <c r="I39" i="5"/>
  <c r="J39" i="5" s="1"/>
  <c r="I23" i="5"/>
  <c r="J23" i="5" s="1"/>
  <c r="L23" i="5"/>
  <c r="M23" i="5"/>
  <c r="I21" i="5"/>
  <c r="J21" i="5" s="1"/>
  <c r="M22" i="5"/>
  <c r="L22" i="5"/>
  <c r="I22" i="5"/>
  <c r="J22" i="5"/>
  <c r="L56" i="5"/>
  <c r="H15" i="3"/>
  <c r="I15" i="3" s="1"/>
  <c r="I55" i="5"/>
  <c r="J55" i="5" s="1"/>
  <c r="K16" i="3"/>
  <c r="K17" i="3"/>
  <c r="L16" i="3"/>
  <c r="H16" i="3"/>
  <c r="I16" i="3"/>
  <c r="U18" i="3" s="1"/>
  <c r="H17" i="3"/>
  <c r="I17" i="3"/>
  <c r="L17" i="3"/>
  <c r="M56" i="5"/>
  <c r="I56" i="5"/>
  <c r="J56" i="5" s="1"/>
  <c r="K88" i="5"/>
  <c r="L88" i="5" s="1"/>
  <c r="O89" i="5"/>
  <c r="N89" i="5"/>
  <c r="K87" i="5"/>
  <c r="L87" i="5" s="1"/>
  <c r="K86" i="5"/>
  <c r="L86" i="5" s="1"/>
  <c r="O87" i="5"/>
  <c r="K89" i="5"/>
  <c r="L89" i="5"/>
  <c r="N88" i="5"/>
  <c r="N87" i="5"/>
  <c r="O88" i="5"/>
  <c r="Z5" i="1" a="1"/>
  <c r="Z5" i="1" s="1"/>
  <c r="H19" i="2"/>
  <c r="I19" i="2" s="1"/>
  <c r="L20" i="2"/>
  <c r="K20" i="2"/>
  <c r="H20" i="2"/>
  <c r="I20" i="2" s="1"/>
  <c r="Z6" i="1" l="1"/>
  <c r="W12" i="1" s="1"/>
  <c r="X12" i="1" s="1"/>
  <c r="W4" i="1" l="1"/>
  <c r="W7" i="1"/>
  <c r="X7" i="1" s="1"/>
  <c r="W13" i="1"/>
  <c r="X13" i="1" s="1"/>
  <c r="W11" i="1"/>
  <c r="X11" i="1" s="1"/>
  <c r="W10" i="1"/>
  <c r="X10" i="1" s="1"/>
  <c r="W8" i="1"/>
  <c r="X8" i="1" s="1"/>
  <c r="W6" i="1"/>
  <c r="X6" i="1" s="1"/>
  <c r="W5" i="1"/>
  <c r="X5" i="1" s="1"/>
  <c r="W9" i="1"/>
  <c r="X9" i="1" s="1"/>
  <c r="X4" i="1" l="1"/>
  <c r="X14" i="1" s="1"/>
  <c r="Z9" i="1" a="1"/>
  <c r="Z9" i="1" l="1"/>
  <c r="Z13" i="1" s="1" a="1"/>
  <c r="Z10" i="1"/>
  <c r="AA10" i="1"/>
  <c r="AA9" i="1"/>
  <c r="Z13" i="1" l="1"/>
  <c r="Z14" i="1"/>
  <c r="R20" i="1" a="1"/>
  <c r="AH5" i="1" a="1"/>
  <c r="AH5" i="1"/>
  <c r="AH6" i="1"/>
  <c r="R20" i="1"/>
  <c r="O28" i="1" s="1"/>
  <c r="P28" i="1" s="1"/>
  <c r="R21" i="1"/>
  <c r="Z20" i="1" a="1"/>
  <c r="AP5" i="1" a="1"/>
  <c r="AX5" i="1" a="1"/>
  <c r="AE5" i="1" l="1"/>
  <c r="AF5" i="1" s="1"/>
  <c r="O25" i="1"/>
  <c r="P25" i="1" s="1"/>
  <c r="O27" i="1"/>
  <c r="P27" i="1" s="1"/>
  <c r="O21" i="1"/>
  <c r="P21" i="1" s="1"/>
  <c r="AE6" i="1"/>
  <c r="AF6" i="1" s="1"/>
  <c r="O24" i="1"/>
  <c r="P24" i="1" s="1"/>
  <c r="O22" i="1"/>
  <c r="P22" i="1" s="1"/>
  <c r="AE13" i="1"/>
  <c r="AF13" i="1" s="1"/>
  <c r="AE8" i="1"/>
  <c r="AF8" i="1" s="1"/>
  <c r="AE10" i="1"/>
  <c r="AF10" i="1" s="1"/>
  <c r="O23" i="1"/>
  <c r="P23" i="1" s="1"/>
  <c r="AE4" i="1"/>
  <c r="O19" i="1"/>
  <c r="AE11" i="1"/>
  <c r="AF11" i="1" s="1"/>
  <c r="O26" i="1"/>
  <c r="P26" i="1" s="1"/>
  <c r="AE9" i="1"/>
  <c r="AF9" i="1" s="1"/>
  <c r="O20" i="1"/>
  <c r="P20" i="1" s="1"/>
  <c r="AE12" i="1"/>
  <c r="AF12" i="1" s="1"/>
  <c r="AE7" i="1"/>
  <c r="AF7" i="1" s="1"/>
  <c r="R24" i="1" l="1" a="1"/>
  <c r="P19" i="1"/>
  <c r="P29" i="1" s="1"/>
  <c r="AH9" i="1" a="1"/>
  <c r="AF4" i="1"/>
  <c r="AF14" i="1" s="1"/>
  <c r="AI10" i="1" l="1"/>
  <c r="AH10" i="1"/>
  <c r="AI9" i="1"/>
  <c r="AH9" i="1"/>
  <c r="AH13" i="1" s="1" a="1"/>
  <c r="R25" i="1"/>
  <c r="S24" i="1"/>
  <c r="R24" i="1"/>
  <c r="R28" i="1" s="1" a="1"/>
  <c r="S25" i="1"/>
  <c r="R28" i="1" l="1"/>
  <c r="Z20" i="1" s="1"/>
  <c r="R29" i="1"/>
  <c r="Z21" i="1" s="1"/>
  <c r="AH13" i="1"/>
  <c r="AP5" i="1" s="1"/>
  <c r="AH14" i="1"/>
  <c r="AP6" i="1" s="1"/>
  <c r="W20" i="1" l="1"/>
  <c r="X20" i="1" s="1"/>
  <c r="W22" i="1"/>
  <c r="X22" i="1" s="1"/>
  <c r="W28" i="1"/>
  <c r="X28" i="1" s="1"/>
  <c r="W26" i="1"/>
  <c r="X26" i="1" s="1"/>
  <c r="W24" i="1"/>
  <c r="X24" i="1" s="1"/>
  <c r="W23" i="1"/>
  <c r="X23" i="1" s="1"/>
  <c r="W21" i="1"/>
  <c r="X21" i="1" s="1"/>
  <c r="W27" i="1"/>
  <c r="X27" i="1" s="1"/>
  <c r="W25" i="1"/>
  <c r="X25" i="1" s="1"/>
  <c r="W19" i="1"/>
  <c r="AM11" i="1"/>
  <c r="AN11" i="1" s="1"/>
  <c r="AM7" i="1"/>
  <c r="AN7" i="1" s="1"/>
  <c r="AM5" i="1"/>
  <c r="AN5" i="1" s="1"/>
  <c r="AM10" i="1"/>
  <c r="AN10" i="1" s="1"/>
  <c r="AM4" i="1"/>
  <c r="AM13" i="1"/>
  <c r="AN13" i="1" s="1"/>
  <c r="AM9" i="1"/>
  <c r="AN9" i="1" s="1"/>
  <c r="AM12" i="1"/>
  <c r="AN12" i="1" s="1"/>
  <c r="AM8" i="1"/>
  <c r="AN8" i="1" s="1"/>
  <c r="AM6" i="1"/>
  <c r="AN6" i="1" s="1"/>
  <c r="Z24" i="1" l="1" a="1"/>
  <c r="X19" i="1"/>
  <c r="X29" i="1" s="1"/>
  <c r="AP9" i="1" a="1"/>
  <c r="AN4" i="1"/>
  <c r="AN14" i="1" s="1"/>
  <c r="AA25" i="1" l="1"/>
  <c r="Z25" i="1"/>
  <c r="AA24" i="1"/>
  <c r="Z24" i="1"/>
  <c r="Z28" i="1" s="1" a="1"/>
  <c r="AQ10" i="1"/>
  <c r="AP10" i="1"/>
  <c r="AP9" i="1"/>
  <c r="AP13" i="1" s="1" a="1"/>
  <c r="AQ9" i="1"/>
  <c r="Z29" i="1" l="1"/>
  <c r="Z28" i="1"/>
  <c r="AP13" i="1"/>
  <c r="AX5" i="1" s="1"/>
  <c r="AP14" i="1"/>
  <c r="AX6" i="1" s="1"/>
  <c r="AU6" i="1" l="1"/>
  <c r="AV6" i="1" s="1"/>
  <c r="AU7" i="1"/>
  <c r="AV7" i="1" s="1"/>
  <c r="AU11" i="1"/>
  <c r="AV11" i="1" s="1"/>
  <c r="AU8" i="1"/>
  <c r="AV8" i="1" s="1"/>
  <c r="AU13" i="1"/>
  <c r="AV13" i="1" s="1"/>
  <c r="AU9" i="1"/>
  <c r="AV9" i="1" s="1"/>
  <c r="AU10" i="1"/>
  <c r="AV10" i="1" s="1"/>
  <c r="AU4" i="1"/>
  <c r="AU5" i="1"/>
  <c r="AV5" i="1" s="1"/>
  <c r="AU12" i="1"/>
  <c r="AV12" i="1" s="1"/>
  <c r="AX9" i="1" l="1" a="1"/>
  <c r="AV4" i="1"/>
  <c r="AV14" i="1" s="1"/>
  <c r="AY9" i="1" l="1"/>
  <c r="AX10" i="1"/>
  <c r="AX9" i="1"/>
  <c r="AX13" i="1" s="1" a="1"/>
  <c r="AY10" i="1"/>
  <c r="AX14" i="1" l="1"/>
  <c r="AX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<sst xmlns="http://schemas.openxmlformats.org/spreadsheetml/2006/main" count="512" uniqueCount="114">
  <si>
    <t>Iteration 0</t>
  </si>
  <si>
    <t>Iteration 1</t>
  </si>
  <si>
    <t>Iteration 2</t>
  </si>
  <si>
    <t>Iteration 3</t>
  </si>
  <si>
    <t>Iteration 4</t>
  </si>
  <si>
    <t>Iteration 5</t>
  </si>
  <si>
    <t>Rems</t>
  </si>
  <si>
    <t>Survived</t>
  </si>
  <si>
    <t>Died</t>
  </si>
  <si>
    <t>x</t>
  </si>
  <si>
    <t>y</t>
  </si>
  <si>
    <t>p</t>
  </si>
  <si>
    <t>LL</t>
  </si>
  <si>
    <t>Coeff</t>
  </si>
  <si>
    <t>Covariance Matrix</t>
  </si>
  <si>
    <t>Iteration Matrix</t>
  </si>
  <si>
    <t>Logistic Regression using Newton's Method and Real Statistics Resource Pack</t>
  </si>
  <si>
    <t>Logistic Regression</t>
  </si>
  <si>
    <t>Classification Table</t>
  </si>
  <si>
    <t>ROC Table</t>
  </si>
  <si>
    <t>Total</t>
  </si>
  <si>
    <t>p-Obs</t>
  </si>
  <si>
    <t>p-Pred</t>
  </si>
  <si>
    <t>Suc-Pred</t>
  </si>
  <si>
    <t>Fail-Pred</t>
  </si>
  <si>
    <t>% Correct</t>
  </si>
  <si>
    <t>LL0</t>
  </si>
  <si>
    <t>Converge</t>
  </si>
  <si>
    <t>Suc-Obs</t>
  </si>
  <si>
    <t>Fail-Obs</t>
  </si>
  <si>
    <t>Failure</t>
  </si>
  <si>
    <t>Success</t>
  </si>
  <si>
    <t>Fail-Cum</t>
  </si>
  <si>
    <t>Suc-Cum</t>
  </si>
  <si>
    <t>FPR</t>
  </si>
  <si>
    <t>TPR</t>
  </si>
  <si>
    <t>AUC</t>
  </si>
  <si>
    <t>LL1</t>
  </si>
  <si>
    <t>Chi-Sq</t>
  </si>
  <si>
    <t>df</t>
  </si>
  <si>
    <t>p-value</t>
  </si>
  <si>
    <t>Accuracy</t>
  </si>
  <si>
    <t>alpha</t>
  </si>
  <si>
    <t>sig</t>
  </si>
  <si>
    <t>Cutoff</t>
  </si>
  <si>
    <t>R-Sq (L)</t>
  </si>
  <si>
    <t>R-Sq (CS)</t>
  </si>
  <si>
    <t>R-Sq (N)</t>
  </si>
  <si>
    <t>coeff b</t>
  </si>
  <si>
    <t>s.e.</t>
  </si>
  <si>
    <t>Wald</t>
  </si>
  <si>
    <t>exp(b)</t>
  </si>
  <si>
    <t>lower</t>
  </si>
  <si>
    <t>upper</t>
  </si>
  <si>
    <t>Intercept</t>
  </si>
  <si>
    <t>TP</t>
  </si>
  <si>
    <t>FP</t>
  </si>
  <si>
    <t>PP</t>
  </si>
  <si>
    <t>FN</t>
  </si>
  <si>
    <t>TN</t>
  </si>
  <si>
    <t>PN</t>
  </si>
  <si>
    <t>OP</t>
  </si>
  <si>
    <t>ON</t>
  </si>
  <si>
    <t>Tot</t>
  </si>
  <si>
    <t>Using Real Statistics formulas</t>
  </si>
  <si>
    <t>Prediction</t>
  </si>
  <si>
    <t>Rem</t>
  </si>
  <si>
    <t>Pred</t>
  </si>
  <si>
    <t>Logistic Regression using raw data</t>
  </si>
  <si>
    <t>Temp</t>
  </si>
  <si>
    <t>Water</t>
  </si>
  <si>
    <t>Male</t>
  </si>
  <si>
    <t>For display purposes only</t>
  </si>
  <si>
    <t>Subject</t>
  </si>
  <si>
    <t>Female</t>
  </si>
  <si>
    <t>=LogitCoeff(A3:C52,TRUE,TRUE,TRUE)</t>
  </si>
  <si>
    <t>=LogitPred(N37:O37,$A$4:$C$52,TRUE)</t>
  </si>
  <si>
    <t>=LogitPredC(N43:O43,$F$37:$F$39)</t>
  </si>
  <si>
    <t>=LogitTest(A4:C52,TRUE,TRUE)</t>
  </si>
  <si>
    <t>=LogitSummary(A4:C52)</t>
  </si>
  <si>
    <t>=LogitPred(N49:O49,$E$6:$H$11)</t>
  </si>
  <si>
    <t>=LogitSummary(A3:C52,TRUE)</t>
  </si>
  <si>
    <t>=LogitCoeff(A4:C52,TRUE,TRUE)</t>
  </si>
  <si>
    <t>Logistic Regression using raw data (alternative approach)</t>
  </si>
  <si>
    <t>Logistic Regression using Real Statistics Resource Pack with Newton option</t>
  </si>
  <si>
    <t>Temperature only model</t>
  </si>
  <si>
    <t>Compare with Temp + Water</t>
  </si>
  <si>
    <t>Water only model</t>
  </si>
  <si>
    <t>Interaction Model</t>
  </si>
  <si>
    <t>T x W</t>
  </si>
  <si>
    <t>Compare with Temp</t>
  </si>
  <si>
    <t>Interaction model using Real Statistics formulas</t>
  </si>
  <si>
    <t>Forecast</t>
  </si>
  <si>
    <t>Coefficient Table</t>
  </si>
  <si>
    <t>R-Square</t>
  </si>
  <si>
    <t>Chi-sq Test</t>
  </si>
  <si>
    <t>Creation of the Interaction Model</t>
  </si>
  <si>
    <t>Logistic Regression using Real Statistics Real Statistics functions</t>
  </si>
  <si>
    <t>=LogitCoeff(A4:D15,TRUE,,TRUE)</t>
  </si>
  <si>
    <t>=LogitTest(A4:D15,1)</t>
  </si>
  <si>
    <t>=LogitCoeff(A4:D15,TRUE)</t>
  </si>
  <si>
    <t>=LogitCoeff(A4:D15)</t>
  </si>
  <si>
    <t>=LogitRSquare(A4:D15,TRUE)</t>
  </si>
  <si>
    <t>=LogitPred(I19:J19,$A$4:$D$15)</t>
  </si>
  <si>
    <t>p-Male</t>
  </si>
  <si>
    <t>=LogitPredC(I25:J25,$G$18:$G$20)</t>
  </si>
  <si>
    <t>Real Statistics Using Excel</t>
  </si>
  <si>
    <t>Updated</t>
  </si>
  <si>
    <t>Copyright © 2013 - 2023 Charles Zaiontz</t>
  </si>
  <si>
    <t>Finding Logistic Regression Coefficients via Newton's Method</t>
  </si>
  <si>
    <t>AIC</t>
  </si>
  <si>
    <t>BIC</t>
  </si>
  <si>
    <t>Converge Matrix</t>
  </si>
  <si>
    <t>Logistic Reg (Newton's)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</si>
</sst>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7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quotePrefix="1"/>
    <xf numFmtId="0" fontId="0" fillId="0" borderId="0" xfId="0" quotePrefix="1" applyAlignment="1">
      <alignment horizontal="left"/>
    </xf>
    <xf numFmtId="15" fontId="0" fillId="0" borderId="0" xfId="0" applyNumberFormat="1"/>
    <xf numFmtId="0" fontId="3" fillId="0" borderId="0" xfId="0" applyFont="1"/>
    <xf numFmtId="0" fontId="0" fillId="0" borderId="0" xfId="0" applyBorder="1"/>
    <xf numFmtId="0" fontId="0" fillId="0" borderId="30" xfId="0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0" fillId="0" borderId="32" xfId="0" applyBorder="1"/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Tool!$AK$6:$AK$16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Tool!$AL$6:$AL$16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A-41E5-BA05-AB7AFB066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6560"/>
        <c:axId val="736827344"/>
      </c:scatterChart>
      <c:valAx>
        <c:axId val="73682656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7344"/>
        <c:crosses val="autoZero"/>
        <c:crossBetween val="midCat"/>
      </c:valAx>
      <c:valAx>
        <c:axId val="73682734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6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Raw!$AM$6:$AM$12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Raw!$AN$6:$AN$12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5-4392-B5E7-4C030B8A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31264"/>
        <c:axId val="736833616"/>
      </c:scatterChart>
      <c:valAx>
        <c:axId val="73683126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3616"/>
        <c:crosses val="autoZero"/>
        <c:crossBetween val="midCat"/>
      </c:valAx>
      <c:valAx>
        <c:axId val="73683361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Summary!$AN$6:$AN$18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Summary!$AO$6:$AO$18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D-4F30-BF9A-7054B7A3E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3032"/>
        <c:axId val="736834008"/>
      </c:scatterChart>
      <c:valAx>
        <c:axId val="73682303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4008"/>
        <c:crosses val="autoZero"/>
        <c:crossBetween val="midCat"/>
      </c:valAx>
      <c:valAx>
        <c:axId val="73683400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3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Summary!$AL$29:$AL$35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Summary!$AM$29:$AM$35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5-428F-9924-FA31E99E4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6168"/>
        <c:axId val="736822248"/>
      </c:scatterChart>
      <c:valAx>
        <c:axId val="736826168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2248"/>
        <c:crosses val="autoZero"/>
        <c:crossBetween val="midCat"/>
      </c:valAx>
      <c:valAx>
        <c:axId val="7368222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6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Summary!$AL$50:$AL$52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Summary!$AM$50:$AM$52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A4-4391-9953-EEC2320A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7736"/>
        <c:axId val="736824600"/>
      </c:scatterChart>
      <c:valAx>
        <c:axId val="73682773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4600"/>
        <c:crosses val="autoZero"/>
        <c:crossBetween val="midCat"/>
      </c:valAx>
      <c:valAx>
        <c:axId val="73682460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7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Summary!$AR$71:$AR$83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Summary!$AS$71:$AS$83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B-49C0-B50C-0D64178A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828520"/>
        <c:axId val="736832048"/>
      </c:scatterChart>
      <c:valAx>
        <c:axId val="73682852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32048"/>
        <c:crosses val="autoZero"/>
        <c:crossBetween val="midCat"/>
      </c:valAx>
      <c:valAx>
        <c:axId val="736832048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28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276225</xdr:colOff>
      <xdr:row>17</xdr:row>
      <xdr:rowOff>166687</xdr:rowOff>
    </xdr:from>
    <xdr:to>
      <xdr:col>38</xdr:col>
      <xdr:colOff>581025</xdr:colOff>
      <xdr:row>32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226DF-E812-444A-BAA0-F35BB96FF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266700</xdr:colOff>
      <xdr:row>14</xdr:row>
      <xdr:rowOff>61912</xdr:rowOff>
    </xdr:from>
    <xdr:to>
      <xdr:col>40</xdr:col>
      <xdr:colOff>571500</xdr:colOff>
      <xdr:row>28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897BE0-797A-4C21-8D43-9EAB49B1B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76200</xdr:colOff>
      <xdr:row>4</xdr:row>
      <xdr:rowOff>80962</xdr:rowOff>
    </xdr:from>
    <xdr:to>
      <xdr:col>50</xdr:col>
      <xdr:colOff>381000</xdr:colOff>
      <xdr:row>18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664B3F-13F7-48EE-85C7-198076522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590550</xdr:colOff>
      <xdr:row>25</xdr:row>
      <xdr:rowOff>90487</xdr:rowOff>
    </xdr:from>
    <xdr:to>
      <xdr:col>48</xdr:col>
      <xdr:colOff>285750</xdr:colOff>
      <xdr:row>39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D481CF-BBAD-4C8E-A23C-494A9EB87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152400</xdr:colOff>
      <xdr:row>54</xdr:row>
      <xdr:rowOff>14287</xdr:rowOff>
    </xdr:from>
    <xdr:to>
      <xdr:col>39</xdr:col>
      <xdr:colOff>457200</xdr:colOff>
      <xdr:row>68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8C7592-951A-4B0A-BA71-37342E3CB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133350</xdr:colOff>
      <xdr:row>84</xdr:row>
      <xdr:rowOff>138112</xdr:rowOff>
    </xdr:from>
    <xdr:to>
      <xdr:col>45</xdr:col>
      <xdr:colOff>438150</xdr:colOff>
      <xdr:row>99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348DE8-9F14-4334-B150-66F7609F8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Regression%202%2025%20April%202022.xlsx" TargetMode="External"/><Relationship Id="rId1" Type="http://schemas.openxmlformats.org/officeDocument/2006/relationships/externalLinkPath" Target="/Users/user/Documents/A%20Real%20Statistics%202020/Examples/Real%20Statistics%20Examples%20Regression%202%2025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AK6">
            <v>1</v>
          </cell>
          <cell r="AL6">
            <v>1</v>
          </cell>
        </row>
        <row r="7">
          <cell r="AK7">
            <v>0.9072847682119205</v>
          </cell>
          <cell r="AL7">
            <v>0.99344978165938869</v>
          </cell>
        </row>
        <row r="8">
          <cell r="AK8">
            <v>0.77152317880794707</v>
          </cell>
          <cell r="AL8">
            <v>0.97161572052401746</v>
          </cell>
        </row>
        <row r="9">
          <cell r="AK9">
            <v>0.50331125827814571</v>
          </cell>
          <cell r="AL9">
            <v>0.90393013100436681</v>
          </cell>
        </row>
        <row r="10">
          <cell r="AK10">
            <v>0.26158940397350994</v>
          </cell>
          <cell r="AL10">
            <v>0.78820960698689957</v>
          </cell>
        </row>
        <row r="11">
          <cell r="AK11">
            <v>0.13576158940397354</v>
          </cell>
          <cell r="AL11">
            <v>0.64847161572052403</v>
          </cell>
        </row>
        <row r="12">
          <cell r="AK12">
            <v>5.9602649006622488E-2</v>
          </cell>
          <cell r="AL12">
            <v>0.46288209606986896</v>
          </cell>
        </row>
        <row r="13">
          <cell r="AK13">
            <v>2.3178807947019875E-2</v>
          </cell>
          <cell r="AL13">
            <v>0.29912663755458513</v>
          </cell>
        </row>
        <row r="14">
          <cell r="AK14">
            <v>3.3112582781457123E-3</v>
          </cell>
          <cell r="AL14">
            <v>0.10917030567685593</v>
          </cell>
        </row>
        <row r="15">
          <cell r="AK15">
            <v>0</v>
          </cell>
          <cell r="AL15">
            <v>4.5851528384279527E-2</v>
          </cell>
        </row>
        <row r="16">
          <cell r="AK16">
            <v>0</v>
          </cell>
          <cell r="AL16">
            <v>0</v>
          </cell>
        </row>
      </sheetData>
      <sheetData sheetId="8">
        <row r="6">
          <cell r="AM6">
            <v>1</v>
          </cell>
          <cell r="AN6">
            <v>1</v>
          </cell>
        </row>
        <row r="7">
          <cell r="AM7">
            <v>0.75</v>
          </cell>
          <cell r="AN7">
            <v>0.92</v>
          </cell>
        </row>
        <row r="8">
          <cell r="AM8">
            <v>0.54166666666666674</v>
          </cell>
          <cell r="AN8">
            <v>0.84</v>
          </cell>
        </row>
        <row r="9">
          <cell r="AM9">
            <v>0.33333333333333337</v>
          </cell>
          <cell r="AN9">
            <v>0.67999999999999994</v>
          </cell>
        </row>
        <row r="10">
          <cell r="AM10">
            <v>0.20833333333333337</v>
          </cell>
          <cell r="AN10">
            <v>0.48</v>
          </cell>
        </row>
        <row r="11">
          <cell r="AM11">
            <v>4.166666666666663E-2</v>
          </cell>
          <cell r="AN11">
            <v>0.28000000000000003</v>
          </cell>
        </row>
        <row r="12">
          <cell r="AM12">
            <v>0</v>
          </cell>
          <cell r="AN12">
            <v>0</v>
          </cell>
        </row>
      </sheetData>
      <sheetData sheetId="9" refreshError="1"/>
      <sheetData sheetId="10">
        <row r="6">
          <cell r="AN6">
            <v>1</v>
          </cell>
          <cell r="AO6">
            <v>1</v>
          </cell>
        </row>
        <row r="7">
          <cell r="AN7">
            <v>0.9349112426035503</v>
          </cell>
          <cell r="AO7">
            <v>0.98659003831417624</v>
          </cell>
        </row>
        <row r="8">
          <cell r="AN8">
            <v>0.85207100591715978</v>
          </cell>
          <cell r="AO8">
            <v>0.97892720306513414</v>
          </cell>
        </row>
        <row r="9">
          <cell r="AN9">
            <v>0.71597633136094674</v>
          </cell>
          <cell r="AO9">
            <v>0.94636015325670497</v>
          </cell>
        </row>
        <row r="10">
          <cell r="AN10">
            <v>0.59467455621301779</v>
          </cell>
          <cell r="AO10">
            <v>0.92528735632183912</v>
          </cell>
        </row>
        <row r="11">
          <cell r="AN11">
            <v>0.40236686390532539</v>
          </cell>
          <cell r="AO11">
            <v>0.8122605363984674</v>
          </cell>
        </row>
        <row r="12">
          <cell r="AN12">
            <v>0.18639053254437865</v>
          </cell>
          <cell r="AO12">
            <v>0.6954022988505747</v>
          </cell>
        </row>
        <row r="13">
          <cell r="AN13">
            <v>0.12426035502958577</v>
          </cell>
          <cell r="AO13">
            <v>0.56513409961685823</v>
          </cell>
        </row>
        <row r="14">
          <cell r="AN14">
            <v>5.6213017751479244E-2</v>
          </cell>
          <cell r="AO14">
            <v>0.39080459770114939</v>
          </cell>
        </row>
        <row r="15">
          <cell r="AN15">
            <v>2.9585798816568087E-2</v>
          </cell>
          <cell r="AO15">
            <v>0.24712643678160917</v>
          </cell>
        </row>
        <row r="16">
          <cell r="AN16">
            <v>1.1834319526627168E-2</v>
          </cell>
          <cell r="AO16">
            <v>7.4712643678160884E-2</v>
          </cell>
        </row>
        <row r="17">
          <cell r="AN17">
            <v>0</v>
          </cell>
          <cell r="AO17">
            <v>4.0229885057471271E-2</v>
          </cell>
        </row>
        <row r="18">
          <cell r="AN18">
            <v>0</v>
          </cell>
          <cell r="AO18">
            <v>0</v>
          </cell>
        </row>
        <row r="29">
          <cell r="AL29" t="e">
            <v>#VALUE!</v>
          </cell>
          <cell r="AM29" t="e">
            <v>#VALUE!</v>
          </cell>
        </row>
        <row r="30">
          <cell r="AL30" t="e">
            <v>#VALUE!</v>
          </cell>
          <cell r="AM30" t="e">
            <v>#VALUE!</v>
          </cell>
        </row>
        <row r="31">
          <cell r="AL31" t="e">
            <v>#VALUE!</v>
          </cell>
          <cell r="AM31" t="e">
            <v>#VALUE!</v>
          </cell>
        </row>
        <row r="32">
          <cell r="AL32" t="e">
            <v>#VALUE!</v>
          </cell>
          <cell r="AM32" t="e">
            <v>#VALUE!</v>
          </cell>
        </row>
        <row r="33">
          <cell r="AL33" t="e">
            <v>#VALUE!</v>
          </cell>
          <cell r="AM33" t="e">
            <v>#VALUE!</v>
          </cell>
        </row>
        <row r="34">
          <cell r="AL34" t="e">
            <v>#VALUE!</v>
          </cell>
          <cell r="AM34" t="e">
            <v>#VALUE!</v>
          </cell>
        </row>
        <row r="35">
          <cell r="AL35" t="e">
            <v>#VALUE!</v>
          </cell>
          <cell r="AM35" t="e">
            <v>#VALUE!</v>
          </cell>
        </row>
        <row r="50">
          <cell r="AL50" t="e">
            <v>#VALUE!</v>
          </cell>
          <cell r="AM50" t="e">
            <v>#VALUE!</v>
          </cell>
        </row>
        <row r="51">
          <cell r="AL51" t="e">
            <v>#VALUE!</v>
          </cell>
          <cell r="AM51" t="e">
            <v>#VALUE!</v>
          </cell>
        </row>
        <row r="52">
          <cell r="AL52" t="e">
            <v>#VALUE!</v>
          </cell>
          <cell r="AM52" t="e">
            <v>#VALUE!</v>
          </cell>
        </row>
        <row r="71">
          <cell r="AR71">
            <v>1</v>
          </cell>
          <cell r="AS71">
            <v>1</v>
          </cell>
        </row>
        <row r="72">
          <cell r="AR72">
            <v>0.91715976331360949</v>
          </cell>
          <cell r="AS72">
            <v>0.9923371647509579</v>
          </cell>
        </row>
        <row r="73">
          <cell r="AR73">
            <v>0.85207100591715978</v>
          </cell>
          <cell r="AS73">
            <v>0.97892720306513414</v>
          </cell>
        </row>
        <row r="74">
          <cell r="AR74">
            <v>0.73076923076923084</v>
          </cell>
          <cell r="AS74">
            <v>0.95785440613026818</v>
          </cell>
        </row>
        <row r="75">
          <cell r="AR75">
            <v>0.59467455621301779</v>
          </cell>
          <cell r="AS75">
            <v>0.92528735632183912</v>
          </cell>
        </row>
        <row r="76">
          <cell r="AR76">
            <v>0.37869822485207105</v>
          </cell>
          <cell r="AS76">
            <v>0.8084291187739463</v>
          </cell>
        </row>
        <row r="77">
          <cell r="AR77">
            <v>0.18639053254437865</v>
          </cell>
          <cell r="AS77">
            <v>0.6954022988505747</v>
          </cell>
        </row>
        <row r="78">
          <cell r="AR78">
            <v>0.12426035502958577</v>
          </cell>
          <cell r="AS78">
            <v>0.56513409961685823</v>
          </cell>
        </row>
        <row r="79">
          <cell r="AR79">
            <v>5.6213017751479244E-2</v>
          </cell>
          <cell r="AS79">
            <v>0.39080459770114939</v>
          </cell>
        </row>
        <row r="80">
          <cell r="AR80">
            <v>2.9585798816568087E-2</v>
          </cell>
          <cell r="AS80">
            <v>0.24712643678160917</v>
          </cell>
        </row>
        <row r="81">
          <cell r="AR81">
            <v>1.1834319526627168E-2</v>
          </cell>
          <cell r="AS81">
            <v>7.4712643678160884E-2</v>
          </cell>
        </row>
        <row r="82">
          <cell r="AR82">
            <v>0</v>
          </cell>
          <cell r="AS82">
            <v>4.0229885057471271E-2</v>
          </cell>
        </row>
        <row r="83">
          <cell r="AR83">
            <v>0</v>
          </cell>
          <cell r="AS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5AD0E-B441-4567-BB90-DC762BA91941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106</v>
      </c>
    </row>
    <row r="2" spans="1:2" x14ac:dyDescent="0.35">
      <c r="A2" t="s">
        <v>109</v>
      </c>
    </row>
    <row r="4" spans="1:2" x14ac:dyDescent="0.35">
      <c r="A4" t="s">
        <v>107</v>
      </c>
      <c r="B4" s="48">
        <v>45011</v>
      </c>
    </row>
    <row r="6" spans="1:2" x14ac:dyDescent="0.35">
      <c r="A6" s="49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3132-D279-4C6C-AFAC-160DBB896D18}">
  <sheetPr codeName="Sheet239"/>
  <dimension ref="A1:AY29"/>
  <sheetViews>
    <sheetView zoomScaleNormal="100" workbookViewId="0"/>
  </sheetViews>
  <sheetFormatPr defaultColWidth="9.1796875" defaultRowHeight="14.5" x14ac:dyDescent="0.35"/>
  <cols>
    <col min="1" max="1" width="5.6328125" customWidth="1"/>
    <col min="2" max="2" width="8.81640625" customWidth="1"/>
    <col min="4" max="4" width="3.6328125" customWidth="1"/>
    <col min="5" max="5" width="7" customWidth="1"/>
    <col min="7" max="7" width="4.6328125" customWidth="1"/>
    <col min="8" max="8" width="9.1796875" customWidth="1"/>
    <col min="9" max="9" width="3.6328125" customWidth="1"/>
    <col min="10" max="11" width="8.7265625" customWidth="1"/>
    <col min="12" max="12" width="4" customWidth="1"/>
    <col min="13" max="13" width="5.6328125" customWidth="1"/>
    <col min="15" max="16" width="9.1796875" customWidth="1"/>
    <col min="17" max="17" width="3.6328125" customWidth="1"/>
    <col min="18" max="19" width="8.7265625" customWidth="1"/>
    <col min="20" max="20" width="4" customWidth="1"/>
    <col min="21" max="21" width="5.6328125" customWidth="1"/>
    <col min="23" max="24" width="9.1796875" customWidth="1"/>
    <col min="25" max="25" width="3.6328125" customWidth="1"/>
    <col min="26" max="27" width="8.7265625" customWidth="1"/>
    <col min="28" max="28" width="4.1796875" customWidth="1"/>
    <col min="31" max="32" width="9.1796875" customWidth="1"/>
    <col min="33" max="33" width="7.7265625" customWidth="1"/>
    <col min="34" max="35" width="8.7265625" customWidth="1"/>
    <col min="36" max="36" width="4.1796875" customWidth="1"/>
    <col min="39" max="40" width="9.1796875" customWidth="1"/>
    <col min="41" max="41" width="7.7265625" customWidth="1"/>
    <col min="42" max="43" width="8.7265625" customWidth="1"/>
    <col min="44" max="44" width="4.453125" customWidth="1"/>
    <col min="47" max="48" width="9.1796875" customWidth="1"/>
    <col min="49" max="49" width="7.7265625" customWidth="1"/>
    <col min="50" max="51" width="8.7265625" customWidth="1"/>
    <col min="56" max="56" width="4.453125" customWidth="1"/>
    <col min="61" max="61" width="4" customWidth="1"/>
  </cols>
  <sheetData>
    <row r="1" spans="1:51" x14ac:dyDescent="0.35">
      <c r="A1" s="1" t="s">
        <v>113</v>
      </c>
      <c r="F1" t="s">
        <v>0</v>
      </c>
      <c r="N1" t="s">
        <v>1</v>
      </c>
      <c r="V1" t="s">
        <v>2</v>
      </c>
      <c r="AD1" t="s">
        <v>3</v>
      </c>
      <c r="AL1" t="s">
        <v>4</v>
      </c>
      <c r="AT1" t="s">
        <v>5</v>
      </c>
    </row>
    <row r="2" spans="1:51" ht="14.5" customHeight="1" x14ac:dyDescent="0.35"/>
    <row r="3" spans="1:51" s="2" customFormat="1" x14ac:dyDescent="0.35">
      <c r="A3" s="2" t="s">
        <v>6</v>
      </c>
      <c r="B3" s="2" t="s">
        <v>7</v>
      </c>
      <c r="C3" s="2" t="s">
        <v>8</v>
      </c>
      <c r="E3" s="2" t="s">
        <v>9</v>
      </c>
      <c r="F3" s="3" t="s">
        <v>10</v>
      </c>
      <c r="G3" s="3" t="s">
        <v>11</v>
      </c>
      <c r="H3" s="3" t="s">
        <v>12</v>
      </c>
      <c r="J3" s="4" t="s">
        <v>13</v>
      </c>
      <c r="K3"/>
      <c r="L3"/>
      <c r="M3" s="2" t="s">
        <v>9</v>
      </c>
      <c r="N3" s="3" t="s">
        <v>10</v>
      </c>
      <c r="O3" s="3" t="s">
        <v>11</v>
      </c>
      <c r="P3" s="3" t="s">
        <v>12</v>
      </c>
      <c r="R3" s="4" t="s">
        <v>13</v>
      </c>
      <c r="S3"/>
      <c r="U3" s="2" t="s">
        <v>9</v>
      </c>
      <c r="V3" s="3" t="s">
        <v>10</v>
      </c>
      <c r="W3" s="3" t="s">
        <v>11</v>
      </c>
      <c r="X3" s="3" t="s">
        <v>12</v>
      </c>
      <c r="Z3" s="4" t="s">
        <v>13</v>
      </c>
      <c r="AA3"/>
      <c r="AC3" s="2" t="s">
        <v>9</v>
      </c>
      <c r="AD3" s="3" t="s">
        <v>10</v>
      </c>
      <c r="AE3" s="3" t="s">
        <v>11</v>
      </c>
      <c r="AF3" s="3" t="s">
        <v>12</v>
      </c>
      <c r="AH3" s="4" t="s">
        <v>13</v>
      </c>
      <c r="AI3"/>
      <c r="AK3" s="2" t="s">
        <v>9</v>
      </c>
      <c r="AL3" s="3" t="s">
        <v>10</v>
      </c>
      <c r="AM3" s="3" t="s">
        <v>11</v>
      </c>
      <c r="AN3" s="3" t="s">
        <v>12</v>
      </c>
      <c r="AP3" s="4" t="s">
        <v>13</v>
      </c>
      <c r="AQ3"/>
      <c r="AS3" s="2" t="s">
        <v>9</v>
      </c>
      <c r="AT3" s="3" t="s">
        <v>10</v>
      </c>
      <c r="AU3" s="3" t="s">
        <v>11</v>
      </c>
      <c r="AV3" s="3" t="s">
        <v>12</v>
      </c>
      <c r="AX3" s="4" t="s">
        <v>13</v>
      </c>
      <c r="AY3"/>
    </row>
    <row r="4" spans="1:51" x14ac:dyDescent="0.35">
      <c r="A4">
        <v>50</v>
      </c>
      <c r="B4" s="5">
        <v>21</v>
      </c>
      <c r="C4" s="6">
        <v>0</v>
      </c>
      <c r="E4" s="2">
        <f>A4</f>
        <v>50</v>
      </c>
      <c r="F4" s="7">
        <f>B4/(B4+C4)</f>
        <v>1</v>
      </c>
      <c r="G4" s="8">
        <f>1/(1+EXP(-J$5-J$6*E4))</f>
        <v>0.5</v>
      </c>
      <c r="H4" s="9">
        <f>($B4+$C4)*(F4*LN(G4)+(1-F4)*LN(1-G4))</f>
        <v>-14.556090791758852</v>
      </c>
      <c r="M4" s="2">
        <f>E4</f>
        <v>50</v>
      </c>
      <c r="N4" s="7">
        <f>F4</f>
        <v>1</v>
      </c>
      <c r="O4" s="8" t="e">
        <f ca="1">1/(1+EXP(-R$5-R$6*M4))</f>
        <v>#NAME?</v>
      </c>
      <c r="P4" s="9" t="e">
        <f ca="1">($B4+$C4)*(N4*LN(O4)+(1-N4)*LN(1-O4))</f>
        <v>#NAME?</v>
      </c>
      <c r="U4" s="2">
        <f>M4</f>
        <v>50</v>
      </c>
      <c r="V4" s="7">
        <f>N4</f>
        <v>1</v>
      </c>
      <c r="W4" s="8" t="e">
        <f ca="1">1/(1+EXP(-Z$5-Z$6*U4))</f>
        <v>#NAME?</v>
      </c>
      <c r="X4" s="9" t="e">
        <f ca="1">($B4+$C4)*(V4*LN(W4)+(1-V4)*LN(1-W4))</f>
        <v>#NAME?</v>
      </c>
      <c r="AC4" s="2">
        <f>U4</f>
        <v>50</v>
      </c>
      <c r="AD4" s="7">
        <f>V4</f>
        <v>1</v>
      </c>
      <c r="AE4" s="8" t="e">
        <f ca="1">1/(1+EXP(-AH$5-AH$6*AC4))</f>
        <v>#NAME?</v>
      </c>
      <c r="AF4" s="9" t="e">
        <f ca="1">($B4+$C4)*(AD4*LN(AE4)+(1-AD4)*LN(1-AE4))</f>
        <v>#NAME?</v>
      </c>
      <c r="AK4" s="2">
        <f>AC4</f>
        <v>50</v>
      </c>
      <c r="AL4" s="7">
        <f>AD4</f>
        <v>1</v>
      </c>
      <c r="AM4" s="8" t="e">
        <f ca="1">1/(1+EXP(-AP$5-AP$6*AK4))</f>
        <v>#NAME?</v>
      </c>
      <c r="AN4" s="9" t="e">
        <f ca="1">($B4+$C4)*(AL4*LN(AM4)+(1-AL4)*LN(1-AM4))</f>
        <v>#NAME?</v>
      </c>
      <c r="AS4" s="2">
        <f>AK4</f>
        <v>50</v>
      </c>
      <c r="AT4" s="7">
        <f>AL4</f>
        <v>1</v>
      </c>
      <c r="AU4" s="8" t="e">
        <f ca="1">1/(1+EXP(-AX$5-AX$6*AS4))</f>
        <v>#NAME?</v>
      </c>
      <c r="AV4" s="9" t="e">
        <f ca="1">($B4+$C4)*(AT4*LN(AU4)+(1-AT4)*LN(1-AU4))</f>
        <v>#NAME?</v>
      </c>
    </row>
    <row r="5" spans="1:51" x14ac:dyDescent="0.35">
      <c r="A5">
        <f>A4+100</f>
        <v>150</v>
      </c>
      <c r="B5" s="10">
        <v>29</v>
      </c>
      <c r="C5" s="11">
        <v>1</v>
      </c>
      <c r="E5" s="2">
        <f t="shared" ref="E5:E13" si="0">A5</f>
        <v>150</v>
      </c>
      <c r="F5" s="12">
        <f t="shared" ref="F5:F13" si="1">B5/(B5+C5)</f>
        <v>0.96666666666666667</v>
      </c>
      <c r="G5" s="2">
        <f t="shared" ref="G5:G13" si="2">1/(1+EXP(-J$5-J$6*E5))</f>
        <v>0.5</v>
      </c>
      <c r="H5" s="13">
        <f t="shared" ref="H5:H13" si="3">($B5+$C5)*(F5*LN(G5)+(1-F5)*LN(1-G5))</f>
        <v>-20.794415416798358</v>
      </c>
      <c r="J5" s="14">
        <v>0</v>
      </c>
      <c r="M5" s="2">
        <f t="shared" ref="M5:N13" si="4">E5</f>
        <v>150</v>
      </c>
      <c r="N5" s="12">
        <f t="shared" si="4"/>
        <v>0.96666666666666667</v>
      </c>
      <c r="O5" s="2" t="e">
        <f t="shared" ref="O5:O13" ca="1" si="5">1/(1+EXP(-R$5-R$6*M5))</f>
        <v>#NAME?</v>
      </c>
      <c r="P5" s="13" t="e">
        <f t="shared" ref="P5:P13" ca="1" si="6">($B5+$C5)*(N5*LN(O5)+(1-N5)*LN(1-O5))</f>
        <v>#NAME?</v>
      </c>
      <c r="R5" s="14" t="e">
        <f t="array" ref="R5:R6" ca="1">J5:J6+J13:J14</f>
        <v>#NAME?</v>
      </c>
      <c r="U5" s="2">
        <f t="shared" ref="U5:V13" si="7">M5</f>
        <v>150</v>
      </c>
      <c r="V5" s="12">
        <f t="shared" si="7"/>
        <v>0.96666666666666667</v>
      </c>
      <c r="W5" s="2" t="e">
        <f t="shared" ref="W5:W13" ca="1" si="8">1/(1+EXP(-Z$5-Z$6*U5))</f>
        <v>#NAME?</v>
      </c>
      <c r="X5" s="13" t="e">
        <f t="shared" ref="X5:X13" ca="1" si="9">($B5+$C5)*(V5*LN(W5)+(1-V5)*LN(1-W5))</f>
        <v>#NAME?</v>
      </c>
      <c r="Z5" s="14" t="e">
        <f t="array" ref="Z5:Z6" ca="1">R5:R6+R13:R14</f>
        <v>#NAME?</v>
      </c>
      <c r="AC5" s="2">
        <f t="shared" ref="AC5:AD13" si="10">U5</f>
        <v>150</v>
      </c>
      <c r="AD5" s="12">
        <f t="shared" si="10"/>
        <v>0.96666666666666667</v>
      </c>
      <c r="AE5" s="2" t="e">
        <f t="shared" ref="AE5:AE13" ca="1" si="11">1/(1+EXP(-AH$5-AH$6*AC5))</f>
        <v>#NAME?</v>
      </c>
      <c r="AF5" s="13" t="e">
        <f t="shared" ref="AF5:AF13" ca="1" si="12">($B5+$C5)*(AD5*LN(AE5)+(1-AD5)*LN(1-AE5))</f>
        <v>#NAME?</v>
      </c>
      <c r="AH5" s="14" t="e">
        <f t="array" ref="AH5:AH6" ca="1">Z5:Z6+Z13:Z14</f>
        <v>#NAME?</v>
      </c>
      <c r="AK5" s="2">
        <f t="shared" ref="AK5:AL13" si="13">AC5</f>
        <v>150</v>
      </c>
      <c r="AL5" s="12">
        <f t="shared" si="13"/>
        <v>0.96666666666666667</v>
      </c>
      <c r="AM5" s="2" t="e">
        <f t="shared" ref="AM5:AM13" ca="1" si="14">1/(1+EXP(-AP$5-AP$6*AK5))</f>
        <v>#NAME?</v>
      </c>
      <c r="AN5" s="13" t="e">
        <f t="shared" ref="AN5:AN13" ca="1" si="15">($B5+$C5)*(AL5*LN(AM5)+(1-AL5)*LN(1-AM5))</f>
        <v>#NAME?</v>
      </c>
      <c r="AP5" s="14" t="e">
        <f t="array" ref="AP5:AP6" ca="1">AH5:AH6+AH13:AH14</f>
        <v>#NAME?</v>
      </c>
      <c r="AS5" s="2">
        <f t="shared" ref="AS5:AT13" si="16">AK5</f>
        <v>150</v>
      </c>
      <c r="AT5" s="12">
        <f t="shared" si="16"/>
        <v>0.96666666666666667</v>
      </c>
      <c r="AU5" s="2" t="e">
        <f t="shared" ref="AU5:AU13" ca="1" si="17">1/(1+EXP(-AX$5-AX$6*AS5))</f>
        <v>#NAME?</v>
      </c>
      <c r="AV5" s="13" t="e">
        <f t="shared" ref="AV5:AV13" ca="1" si="18">($B5+$C5)*(AT5*LN(AU5)+(1-AT5)*LN(1-AU5))</f>
        <v>#NAME?</v>
      </c>
      <c r="AX5" s="14" t="e">
        <f t="array" ref="AX5:AX6" ca="1">AP5:AP6+AP13:AP14</f>
        <v>#NAME?</v>
      </c>
    </row>
    <row r="6" spans="1:51" x14ac:dyDescent="0.35">
      <c r="A6">
        <f t="shared" ref="A6:A13" si="19">A5+100</f>
        <v>250</v>
      </c>
      <c r="B6" s="10">
        <v>87</v>
      </c>
      <c r="C6" s="11">
        <v>6</v>
      </c>
      <c r="E6" s="2">
        <f t="shared" si="0"/>
        <v>250</v>
      </c>
      <c r="F6" s="12">
        <f t="shared" si="1"/>
        <v>0.93548387096774188</v>
      </c>
      <c r="G6" s="2">
        <f t="shared" si="2"/>
        <v>0.5</v>
      </c>
      <c r="H6" s="13">
        <f t="shared" si="3"/>
        <v>-64.462687792074917</v>
      </c>
      <c r="J6" s="15">
        <v>0</v>
      </c>
      <c r="M6" s="2">
        <f t="shared" si="4"/>
        <v>250</v>
      </c>
      <c r="N6" s="12">
        <f t="shared" si="4"/>
        <v>0.93548387096774188</v>
      </c>
      <c r="O6" s="2" t="e">
        <f t="shared" ca="1" si="5"/>
        <v>#NAME?</v>
      </c>
      <c r="P6" s="13" t="e">
        <f t="shared" ca="1" si="6"/>
        <v>#NAME?</v>
      </c>
      <c r="R6" s="15" t="e">
        <f ca="1"/>
        <v>#NAME?</v>
      </c>
      <c r="U6" s="2">
        <f t="shared" si="7"/>
        <v>250</v>
      </c>
      <c r="V6" s="12">
        <f t="shared" si="7"/>
        <v>0.93548387096774188</v>
      </c>
      <c r="W6" s="2" t="e">
        <f t="shared" ca="1" si="8"/>
        <v>#NAME?</v>
      </c>
      <c r="X6" s="13" t="e">
        <f t="shared" ca="1" si="9"/>
        <v>#NAME?</v>
      </c>
      <c r="Z6" s="15" t="e">
        <f ca="1"/>
        <v>#NAME?</v>
      </c>
      <c r="AC6" s="2">
        <f t="shared" si="10"/>
        <v>250</v>
      </c>
      <c r="AD6" s="12">
        <f t="shared" si="10"/>
        <v>0.93548387096774188</v>
      </c>
      <c r="AE6" s="2" t="e">
        <f t="shared" ca="1" si="11"/>
        <v>#NAME?</v>
      </c>
      <c r="AF6" s="13" t="e">
        <f t="shared" ca="1" si="12"/>
        <v>#NAME?</v>
      </c>
      <c r="AH6" s="15" t="e">
        <f ca="1"/>
        <v>#NAME?</v>
      </c>
      <c r="AK6" s="2">
        <f t="shared" si="13"/>
        <v>250</v>
      </c>
      <c r="AL6" s="12">
        <f t="shared" si="13"/>
        <v>0.93548387096774188</v>
      </c>
      <c r="AM6" s="2" t="e">
        <f t="shared" ca="1" si="14"/>
        <v>#NAME?</v>
      </c>
      <c r="AN6" s="13" t="e">
        <f t="shared" ca="1" si="15"/>
        <v>#NAME?</v>
      </c>
      <c r="AP6" s="15" t="e">
        <f ca="1"/>
        <v>#NAME?</v>
      </c>
      <c r="AS6" s="2">
        <f t="shared" si="16"/>
        <v>250</v>
      </c>
      <c r="AT6" s="12">
        <f t="shared" si="16"/>
        <v>0.93548387096774188</v>
      </c>
      <c r="AU6" s="2" t="e">
        <f t="shared" ca="1" si="17"/>
        <v>#NAME?</v>
      </c>
      <c r="AV6" s="13" t="e">
        <f t="shared" ca="1" si="18"/>
        <v>#NAME?</v>
      </c>
      <c r="AX6" s="15" t="e">
        <f ca="1"/>
        <v>#NAME?</v>
      </c>
    </row>
    <row r="7" spans="1:51" x14ac:dyDescent="0.35">
      <c r="A7">
        <f t="shared" si="19"/>
        <v>350</v>
      </c>
      <c r="B7" s="10">
        <v>75</v>
      </c>
      <c r="C7" s="11">
        <v>11</v>
      </c>
      <c r="E7" s="2">
        <f t="shared" si="0"/>
        <v>350</v>
      </c>
      <c r="F7" s="12">
        <f t="shared" si="1"/>
        <v>0.87209302325581395</v>
      </c>
      <c r="G7" s="2">
        <f t="shared" si="2"/>
        <v>0.5</v>
      </c>
      <c r="H7" s="13">
        <f t="shared" si="3"/>
        <v>-59.610657528155294</v>
      </c>
      <c r="M7" s="2">
        <f t="shared" si="4"/>
        <v>350</v>
      </c>
      <c r="N7" s="12">
        <f t="shared" si="4"/>
        <v>0.87209302325581395</v>
      </c>
      <c r="O7" s="2" t="e">
        <f t="shared" ca="1" si="5"/>
        <v>#NAME?</v>
      </c>
      <c r="P7" s="13" t="e">
        <f t="shared" ca="1" si="6"/>
        <v>#NAME?</v>
      </c>
      <c r="U7" s="2">
        <f t="shared" si="7"/>
        <v>350</v>
      </c>
      <c r="V7" s="12">
        <f t="shared" si="7"/>
        <v>0.87209302325581395</v>
      </c>
      <c r="W7" s="2" t="e">
        <f t="shared" ca="1" si="8"/>
        <v>#NAME?</v>
      </c>
      <c r="X7" s="13" t="e">
        <f t="shared" ca="1" si="9"/>
        <v>#NAME?</v>
      </c>
      <c r="AC7" s="2">
        <f t="shared" si="10"/>
        <v>350</v>
      </c>
      <c r="AD7" s="12">
        <f t="shared" si="10"/>
        <v>0.87209302325581395</v>
      </c>
      <c r="AE7" s="2" t="e">
        <f t="shared" ca="1" si="11"/>
        <v>#NAME?</v>
      </c>
      <c r="AF7" s="13" t="e">
        <f t="shared" ca="1" si="12"/>
        <v>#NAME?</v>
      </c>
      <c r="AK7" s="2">
        <f t="shared" si="13"/>
        <v>350</v>
      </c>
      <c r="AL7" s="12">
        <f t="shared" si="13"/>
        <v>0.87209302325581395</v>
      </c>
      <c r="AM7" s="2" t="e">
        <f t="shared" ca="1" si="14"/>
        <v>#NAME?</v>
      </c>
      <c r="AN7" s="13" t="e">
        <f t="shared" ca="1" si="15"/>
        <v>#NAME?</v>
      </c>
      <c r="AS7" s="2">
        <f t="shared" si="16"/>
        <v>350</v>
      </c>
      <c r="AT7" s="12">
        <f t="shared" si="16"/>
        <v>0.87209302325581395</v>
      </c>
      <c r="AU7" s="2" t="e">
        <f t="shared" ca="1" si="17"/>
        <v>#NAME?</v>
      </c>
      <c r="AV7" s="13" t="e">
        <f t="shared" ca="1" si="18"/>
        <v>#NAME?</v>
      </c>
    </row>
    <row r="8" spans="1:51" x14ac:dyDescent="0.35">
      <c r="A8">
        <f t="shared" si="19"/>
        <v>450</v>
      </c>
      <c r="B8" s="10">
        <v>85</v>
      </c>
      <c r="C8" s="11">
        <v>23</v>
      </c>
      <c r="E8" s="2">
        <f t="shared" si="0"/>
        <v>450</v>
      </c>
      <c r="F8" s="12">
        <f t="shared" si="1"/>
        <v>0.78703703703703709</v>
      </c>
      <c r="G8" s="2">
        <f t="shared" si="2"/>
        <v>0.5</v>
      </c>
      <c r="H8" s="13">
        <f t="shared" si="3"/>
        <v>-74.859895500474096</v>
      </c>
      <c r="J8" t="s">
        <v>14</v>
      </c>
      <c r="M8" s="2">
        <f t="shared" si="4"/>
        <v>450</v>
      </c>
      <c r="N8" s="12">
        <f t="shared" si="4"/>
        <v>0.78703703703703709</v>
      </c>
      <c r="O8" s="2" t="e">
        <f t="shared" ca="1" si="5"/>
        <v>#NAME?</v>
      </c>
      <c r="P8" s="13" t="e">
        <f t="shared" ca="1" si="6"/>
        <v>#NAME?</v>
      </c>
      <c r="R8" t="s">
        <v>14</v>
      </c>
      <c r="U8" s="2">
        <f t="shared" si="7"/>
        <v>450</v>
      </c>
      <c r="V8" s="12">
        <f t="shared" si="7"/>
        <v>0.78703703703703709</v>
      </c>
      <c r="W8" s="2" t="e">
        <f t="shared" ca="1" si="8"/>
        <v>#NAME?</v>
      </c>
      <c r="X8" s="13" t="e">
        <f t="shared" ca="1" si="9"/>
        <v>#NAME?</v>
      </c>
      <c r="Z8" t="s">
        <v>14</v>
      </c>
      <c r="AC8" s="2">
        <f t="shared" si="10"/>
        <v>450</v>
      </c>
      <c r="AD8" s="12">
        <f t="shared" si="10"/>
        <v>0.78703703703703709</v>
      </c>
      <c r="AE8" s="2" t="e">
        <f t="shared" ca="1" si="11"/>
        <v>#NAME?</v>
      </c>
      <c r="AF8" s="13" t="e">
        <f t="shared" ca="1" si="12"/>
        <v>#NAME?</v>
      </c>
      <c r="AH8" t="s">
        <v>14</v>
      </c>
      <c r="AK8" s="2">
        <f t="shared" si="13"/>
        <v>450</v>
      </c>
      <c r="AL8" s="12">
        <f t="shared" si="13"/>
        <v>0.78703703703703709</v>
      </c>
      <c r="AM8" s="2" t="e">
        <f t="shared" ca="1" si="14"/>
        <v>#NAME?</v>
      </c>
      <c r="AN8" s="13" t="e">
        <f t="shared" ca="1" si="15"/>
        <v>#NAME?</v>
      </c>
      <c r="AP8" t="s">
        <v>14</v>
      </c>
      <c r="AS8" s="2">
        <f t="shared" si="16"/>
        <v>450</v>
      </c>
      <c r="AT8" s="12">
        <f t="shared" si="16"/>
        <v>0.78703703703703709</v>
      </c>
      <c r="AU8" s="2" t="e">
        <f t="shared" ca="1" si="17"/>
        <v>#NAME?</v>
      </c>
      <c r="AV8" s="13" t="e">
        <f t="shared" ca="1" si="18"/>
        <v>#NAME?</v>
      </c>
      <c r="AX8" t="s">
        <v>14</v>
      </c>
    </row>
    <row r="9" spans="1:51" x14ac:dyDescent="0.35">
      <c r="A9">
        <f t="shared" si="19"/>
        <v>550</v>
      </c>
      <c r="B9" s="10">
        <v>64</v>
      </c>
      <c r="C9" s="11">
        <v>38</v>
      </c>
      <c r="E9" s="2">
        <f t="shared" si="0"/>
        <v>550</v>
      </c>
      <c r="F9" s="12">
        <f t="shared" si="1"/>
        <v>0.62745098039215685</v>
      </c>
      <c r="G9" s="2">
        <f t="shared" si="2"/>
        <v>0.5</v>
      </c>
      <c r="H9" s="13">
        <f t="shared" si="3"/>
        <v>-70.701012417114413</v>
      </c>
      <c r="J9" s="5" t="e">
        <f t="array" aca="1" ref="J9:K10" ca="1">MINVERSE(MMULT(TRANSPOSE(DEsign(E4:E13)),MMULT(DIAGONAL(G4:G13*(1-G4:G13)*($B$4:$B$13+$C$4:$C$13)),DEsign(E4:E13))))</f>
        <v>#NAME?</v>
      </c>
      <c r="K9" s="6" t="e">
        <f ca="1"/>
        <v>#NAME?</v>
      </c>
      <c r="M9" s="2">
        <f t="shared" si="4"/>
        <v>550</v>
      </c>
      <c r="N9" s="12">
        <f t="shared" si="4"/>
        <v>0.62745098039215685</v>
      </c>
      <c r="O9" s="2" t="e">
        <f t="shared" ca="1" si="5"/>
        <v>#NAME?</v>
      </c>
      <c r="P9" s="13" t="e">
        <f t="shared" ca="1" si="6"/>
        <v>#NAME?</v>
      </c>
      <c r="R9" s="5" t="e">
        <f t="array" aca="1" ref="R9:S10" ca="1">MINVERSE(MMULT(TRANSPOSE(DEsign(M4:M13)*O4:O13*(1-O4:O13)*($B$4:$B$13+$C$4:$C$13)),DEsign(M4:M13)))</f>
        <v>#NAME?</v>
      </c>
      <c r="S9" s="6" t="e">
        <f ca="1"/>
        <v>#NAME?</v>
      </c>
      <c r="U9" s="2">
        <f t="shared" si="7"/>
        <v>550</v>
      </c>
      <c r="V9" s="12">
        <f t="shared" si="7"/>
        <v>0.62745098039215685</v>
      </c>
      <c r="W9" s="2" t="e">
        <f t="shared" ca="1" si="8"/>
        <v>#NAME?</v>
      </c>
      <c r="X9" s="13" t="e">
        <f t="shared" ca="1" si="9"/>
        <v>#NAME?</v>
      </c>
      <c r="Z9" s="5" t="e">
        <f t="array" aca="1" ref="Z9:AA10" ca="1">MINVERSE(MMULT(TRANSPOSE(DEsign(U4:U13)*W4:W13*(1-W4:W13)*($B$4:$B$13+$C$4:$C$13)),DEsign(U4:U13)))</f>
        <v>#NAME?</v>
      </c>
      <c r="AA9" s="6" t="e">
        <f ca="1"/>
        <v>#NAME?</v>
      </c>
      <c r="AC9" s="2">
        <f t="shared" si="10"/>
        <v>550</v>
      </c>
      <c r="AD9" s="12">
        <f t="shared" si="10"/>
        <v>0.62745098039215685</v>
      </c>
      <c r="AE9" s="2" t="e">
        <f t="shared" ca="1" si="11"/>
        <v>#NAME?</v>
      </c>
      <c r="AF9" s="13" t="e">
        <f t="shared" ca="1" si="12"/>
        <v>#NAME?</v>
      </c>
      <c r="AH9" s="5" t="e">
        <f t="array" aca="1" ref="AH9:AI10" ca="1">MINVERSE(MMULT(TRANSPOSE(DEsign(AC4:AC13)*AE4:AE13*(1-AE4:AE13)*($B$4:$B$13+$C$4:$C$13)),DEsign(AC4:AC13)))</f>
        <v>#NAME?</v>
      </c>
      <c r="AI9" s="6" t="e">
        <f ca="1"/>
        <v>#NAME?</v>
      </c>
      <c r="AK9" s="2">
        <f t="shared" si="13"/>
        <v>550</v>
      </c>
      <c r="AL9" s="12">
        <f t="shared" si="13"/>
        <v>0.62745098039215685</v>
      </c>
      <c r="AM9" s="2" t="e">
        <f t="shared" ca="1" si="14"/>
        <v>#NAME?</v>
      </c>
      <c r="AN9" s="13" t="e">
        <f t="shared" ca="1" si="15"/>
        <v>#NAME?</v>
      </c>
      <c r="AP9" s="5" t="e">
        <f t="array" aca="1" ref="AP9:AQ10" ca="1">MINVERSE(MMULT(TRANSPOSE(DEsign(AK4:AK13)*AM4:AM13*(1-AM4:AM13)*($B$4:$B$13+$C$4:$C$13)),DEsign(AK4:AK13)))</f>
        <v>#NAME?</v>
      </c>
      <c r="AQ9" s="6" t="e">
        <f ca="1"/>
        <v>#NAME?</v>
      </c>
      <c r="AS9" s="2">
        <f t="shared" si="16"/>
        <v>550</v>
      </c>
      <c r="AT9" s="12">
        <f t="shared" si="16"/>
        <v>0.62745098039215685</v>
      </c>
      <c r="AU9" s="2" t="e">
        <f t="shared" ca="1" si="17"/>
        <v>#NAME?</v>
      </c>
      <c r="AV9" s="13" t="e">
        <f t="shared" ca="1" si="18"/>
        <v>#NAME?</v>
      </c>
      <c r="AX9" s="5" t="e">
        <f t="array" aca="1" ref="AX9:AY10" ca="1">MINVERSE(MMULT(TRANSPOSE(DEsign(AS4:AS13)*AU4:AU13*(1-AU4:AU13)*($B$4:$B$13+$C$4:$C$13)),DEsign(AS4:AS13)))</f>
        <v>#NAME?</v>
      </c>
      <c r="AY9" s="6" t="e">
        <f ca="1"/>
        <v>#NAME?</v>
      </c>
    </row>
    <row r="10" spans="1:51" x14ac:dyDescent="0.35">
      <c r="A10">
        <f t="shared" si="19"/>
        <v>650</v>
      </c>
      <c r="B10" s="10">
        <v>53</v>
      </c>
      <c r="C10" s="11">
        <v>73</v>
      </c>
      <c r="E10" s="2">
        <f t="shared" si="0"/>
        <v>650</v>
      </c>
      <c r="F10" s="12">
        <f t="shared" si="1"/>
        <v>0.42063492063492064</v>
      </c>
      <c r="G10" s="2">
        <f t="shared" si="2"/>
        <v>0.5</v>
      </c>
      <c r="H10" s="13">
        <f t="shared" si="3"/>
        <v>-87.336544750553088</v>
      </c>
      <c r="J10" s="16" t="e">
        <f ca="1"/>
        <v>#NAME?</v>
      </c>
      <c r="K10" s="17" t="e">
        <f ca="1"/>
        <v>#NAME?</v>
      </c>
      <c r="M10" s="2">
        <f t="shared" si="4"/>
        <v>650</v>
      </c>
      <c r="N10" s="12">
        <f t="shared" si="4"/>
        <v>0.42063492063492064</v>
      </c>
      <c r="O10" s="2" t="e">
        <f t="shared" ca="1" si="5"/>
        <v>#NAME?</v>
      </c>
      <c r="P10" s="13" t="e">
        <f t="shared" ca="1" si="6"/>
        <v>#NAME?</v>
      </c>
      <c r="R10" s="16" t="e">
        <f ca="1"/>
        <v>#NAME?</v>
      </c>
      <c r="S10" s="17" t="e">
        <f ca="1"/>
        <v>#NAME?</v>
      </c>
      <c r="U10" s="2">
        <f t="shared" si="7"/>
        <v>650</v>
      </c>
      <c r="V10" s="12">
        <f t="shared" si="7"/>
        <v>0.42063492063492064</v>
      </c>
      <c r="W10" s="2" t="e">
        <f t="shared" ca="1" si="8"/>
        <v>#NAME?</v>
      </c>
      <c r="X10" s="13" t="e">
        <f t="shared" ca="1" si="9"/>
        <v>#NAME?</v>
      </c>
      <c r="Z10" s="16" t="e">
        <f ca="1"/>
        <v>#NAME?</v>
      </c>
      <c r="AA10" s="17" t="e">
        <f ca="1"/>
        <v>#NAME?</v>
      </c>
      <c r="AC10" s="2">
        <f t="shared" si="10"/>
        <v>650</v>
      </c>
      <c r="AD10" s="12">
        <f t="shared" si="10"/>
        <v>0.42063492063492064</v>
      </c>
      <c r="AE10" s="2" t="e">
        <f t="shared" ca="1" si="11"/>
        <v>#NAME?</v>
      </c>
      <c r="AF10" s="13" t="e">
        <f t="shared" ca="1" si="12"/>
        <v>#NAME?</v>
      </c>
      <c r="AH10" s="16" t="e">
        <f ca="1"/>
        <v>#NAME?</v>
      </c>
      <c r="AI10" s="17" t="e">
        <f ca="1"/>
        <v>#NAME?</v>
      </c>
      <c r="AK10" s="2">
        <f t="shared" si="13"/>
        <v>650</v>
      </c>
      <c r="AL10" s="12">
        <f t="shared" si="13"/>
        <v>0.42063492063492064</v>
      </c>
      <c r="AM10" s="2" t="e">
        <f t="shared" ca="1" si="14"/>
        <v>#NAME?</v>
      </c>
      <c r="AN10" s="13" t="e">
        <f t="shared" ca="1" si="15"/>
        <v>#NAME?</v>
      </c>
      <c r="AP10" s="16" t="e">
        <f ca="1"/>
        <v>#NAME?</v>
      </c>
      <c r="AQ10" s="17" t="e">
        <f ca="1"/>
        <v>#NAME?</v>
      </c>
      <c r="AS10" s="2">
        <f t="shared" si="16"/>
        <v>650</v>
      </c>
      <c r="AT10" s="12">
        <f t="shared" si="16"/>
        <v>0.42063492063492064</v>
      </c>
      <c r="AU10" s="2" t="e">
        <f t="shared" ca="1" si="17"/>
        <v>#NAME?</v>
      </c>
      <c r="AV10" s="13" t="e">
        <f t="shared" ca="1" si="18"/>
        <v>#NAME?</v>
      </c>
      <c r="AX10" s="16" t="e">
        <f ca="1"/>
        <v>#NAME?</v>
      </c>
      <c r="AY10" s="17" t="e">
        <f ca="1"/>
        <v>#NAME?</v>
      </c>
    </row>
    <row r="11" spans="1:51" x14ac:dyDescent="0.35">
      <c r="A11">
        <f t="shared" si="19"/>
        <v>750</v>
      </c>
      <c r="B11" s="10">
        <v>31</v>
      </c>
      <c r="C11" s="11">
        <v>81</v>
      </c>
      <c r="E11" s="2">
        <f t="shared" si="0"/>
        <v>750</v>
      </c>
      <c r="F11" s="12">
        <f t="shared" si="1"/>
        <v>0.2767857142857143</v>
      </c>
      <c r="G11" s="2">
        <f t="shared" si="2"/>
        <v>0.5</v>
      </c>
      <c r="H11" s="13">
        <f t="shared" si="3"/>
        <v>-77.63248422271387</v>
      </c>
      <c r="M11" s="2">
        <f t="shared" si="4"/>
        <v>750</v>
      </c>
      <c r="N11" s="12">
        <f t="shared" si="4"/>
        <v>0.2767857142857143</v>
      </c>
      <c r="O11" s="2" t="e">
        <f t="shared" ca="1" si="5"/>
        <v>#NAME?</v>
      </c>
      <c r="P11" s="13" t="e">
        <f t="shared" ca="1" si="6"/>
        <v>#NAME?</v>
      </c>
      <c r="U11" s="2">
        <f t="shared" si="7"/>
        <v>750</v>
      </c>
      <c r="V11" s="12">
        <f t="shared" si="7"/>
        <v>0.2767857142857143</v>
      </c>
      <c r="W11" s="2" t="e">
        <f t="shared" ca="1" si="8"/>
        <v>#NAME?</v>
      </c>
      <c r="X11" s="13" t="e">
        <f t="shared" ca="1" si="9"/>
        <v>#NAME?</v>
      </c>
      <c r="AC11" s="2">
        <f t="shared" si="10"/>
        <v>750</v>
      </c>
      <c r="AD11" s="12">
        <f t="shared" si="10"/>
        <v>0.2767857142857143</v>
      </c>
      <c r="AE11" s="2" t="e">
        <f t="shared" ca="1" si="11"/>
        <v>#NAME?</v>
      </c>
      <c r="AF11" s="13" t="e">
        <f t="shared" ca="1" si="12"/>
        <v>#NAME?</v>
      </c>
      <c r="AK11" s="2">
        <f t="shared" si="13"/>
        <v>750</v>
      </c>
      <c r="AL11" s="12">
        <f t="shared" si="13"/>
        <v>0.2767857142857143</v>
      </c>
      <c r="AM11" s="2" t="e">
        <f t="shared" ca="1" si="14"/>
        <v>#NAME?</v>
      </c>
      <c r="AN11" s="13" t="e">
        <f t="shared" ca="1" si="15"/>
        <v>#NAME?</v>
      </c>
      <c r="AS11" s="2">
        <f t="shared" si="16"/>
        <v>750</v>
      </c>
      <c r="AT11" s="12">
        <f t="shared" si="16"/>
        <v>0.2767857142857143</v>
      </c>
      <c r="AU11" s="2" t="e">
        <f t="shared" ca="1" si="17"/>
        <v>#NAME?</v>
      </c>
      <c r="AV11" s="13" t="e">
        <f t="shared" ca="1" si="18"/>
        <v>#NAME?</v>
      </c>
    </row>
    <row r="12" spans="1:51" x14ac:dyDescent="0.35">
      <c r="A12">
        <f t="shared" si="19"/>
        <v>850</v>
      </c>
      <c r="B12" s="10">
        <v>10</v>
      </c>
      <c r="C12" s="11">
        <v>41</v>
      </c>
      <c r="E12" s="2">
        <f t="shared" si="0"/>
        <v>850</v>
      </c>
      <c r="F12" s="12">
        <f t="shared" si="1"/>
        <v>0.19607843137254902</v>
      </c>
      <c r="G12" s="2">
        <f t="shared" si="2"/>
        <v>0.5</v>
      </c>
      <c r="H12" s="13">
        <f t="shared" si="3"/>
        <v>-35.350506208557206</v>
      </c>
      <c r="J12" t="s">
        <v>112</v>
      </c>
      <c r="M12" s="2">
        <f t="shared" si="4"/>
        <v>850</v>
      </c>
      <c r="N12" s="12">
        <f t="shared" si="4"/>
        <v>0.19607843137254902</v>
      </c>
      <c r="O12" s="2" t="e">
        <f t="shared" ca="1" si="5"/>
        <v>#NAME?</v>
      </c>
      <c r="P12" s="13" t="e">
        <f t="shared" ca="1" si="6"/>
        <v>#NAME?</v>
      </c>
      <c r="R12" t="s">
        <v>112</v>
      </c>
      <c r="U12" s="2">
        <f t="shared" si="7"/>
        <v>850</v>
      </c>
      <c r="V12" s="12">
        <f t="shared" si="7"/>
        <v>0.19607843137254902</v>
      </c>
      <c r="W12" s="2" t="e">
        <f t="shared" ca="1" si="8"/>
        <v>#NAME?</v>
      </c>
      <c r="X12" s="13" t="e">
        <f t="shared" ca="1" si="9"/>
        <v>#NAME?</v>
      </c>
      <c r="Z12" t="s">
        <v>112</v>
      </c>
      <c r="AC12" s="2">
        <f t="shared" si="10"/>
        <v>850</v>
      </c>
      <c r="AD12" s="12">
        <f t="shared" si="10"/>
        <v>0.19607843137254902</v>
      </c>
      <c r="AE12" s="2" t="e">
        <f t="shared" ca="1" si="11"/>
        <v>#NAME?</v>
      </c>
      <c r="AF12" s="13" t="e">
        <f t="shared" ca="1" si="12"/>
        <v>#NAME?</v>
      </c>
      <c r="AH12" t="s">
        <v>15</v>
      </c>
      <c r="AK12" s="2">
        <f t="shared" si="13"/>
        <v>850</v>
      </c>
      <c r="AL12" s="12">
        <f t="shared" si="13"/>
        <v>0.19607843137254902</v>
      </c>
      <c r="AM12" s="2" t="e">
        <f t="shared" ca="1" si="14"/>
        <v>#NAME?</v>
      </c>
      <c r="AN12" s="13" t="e">
        <f t="shared" ca="1" si="15"/>
        <v>#NAME?</v>
      </c>
      <c r="AP12" t="s">
        <v>112</v>
      </c>
      <c r="AS12" s="2">
        <f t="shared" si="16"/>
        <v>850</v>
      </c>
      <c r="AT12" s="12">
        <f t="shared" si="16"/>
        <v>0.19607843137254902</v>
      </c>
      <c r="AU12" s="2" t="e">
        <f t="shared" ca="1" si="17"/>
        <v>#NAME?</v>
      </c>
      <c r="AV12" s="13" t="e">
        <f t="shared" ca="1" si="18"/>
        <v>#NAME?</v>
      </c>
      <c r="AX12" t="s">
        <v>112</v>
      </c>
    </row>
    <row r="13" spans="1:51" x14ac:dyDescent="0.35">
      <c r="A13">
        <f t="shared" si="19"/>
        <v>950</v>
      </c>
      <c r="B13" s="16">
        <v>3</v>
      </c>
      <c r="C13" s="17">
        <v>28</v>
      </c>
      <c r="E13" s="2">
        <f t="shared" si="0"/>
        <v>950</v>
      </c>
      <c r="F13" s="18">
        <f t="shared" si="1"/>
        <v>9.6774193548387094E-2</v>
      </c>
      <c r="G13" s="19">
        <f t="shared" si="2"/>
        <v>0.5</v>
      </c>
      <c r="H13" s="20">
        <f t="shared" si="3"/>
        <v>-21.487562597358306</v>
      </c>
      <c r="J13" s="14" t="e">
        <f t="array" aca="1" ref="J13:J14" ca="1">MMULT(J9:K10,MMULT(TRANSPOSE(DEsign(E4:E13)),($B$4:$B$13+$C$4:$C$13)*(F4:F13-G4:G13)))</f>
        <v>#NAME?</v>
      </c>
      <c r="M13" s="2">
        <f t="shared" si="4"/>
        <v>950</v>
      </c>
      <c r="N13" s="18">
        <f t="shared" si="4"/>
        <v>9.6774193548387094E-2</v>
      </c>
      <c r="O13" s="19" t="e">
        <f t="shared" ca="1" si="5"/>
        <v>#NAME?</v>
      </c>
      <c r="P13" s="20" t="e">
        <f t="shared" ca="1" si="6"/>
        <v>#NAME?</v>
      </c>
      <c r="R13" s="14" t="e">
        <f t="array" aca="1" ref="R13:R14" ca="1">MMULT(R9:S10,MMULT(TRANSPOSE(DEsign(M4:M13)),($B$4:$B$13+$C$4:$C$13)*(N4:N13-O4:O13)))</f>
        <v>#NAME?</v>
      </c>
      <c r="U13" s="2">
        <f t="shared" si="7"/>
        <v>950</v>
      </c>
      <c r="V13" s="18">
        <f t="shared" si="7"/>
        <v>9.6774193548387094E-2</v>
      </c>
      <c r="W13" s="19" t="e">
        <f t="shared" ca="1" si="8"/>
        <v>#NAME?</v>
      </c>
      <c r="X13" s="20" t="e">
        <f t="shared" ca="1" si="9"/>
        <v>#NAME?</v>
      </c>
      <c r="Z13" s="14" t="e">
        <f t="array" aca="1" ref="Z13:Z14" ca="1">MMULT(Z9:AA10,MMULT(TRANSPOSE(DEsign(U4:U13)),($B$4:$B$13+$C$4:$C$13)*(V4:V13-W4:W13)))</f>
        <v>#NAME?</v>
      </c>
      <c r="AC13" s="2">
        <f t="shared" si="10"/>
        <v>950</v>
      </c>
      <c r="AD13" s="18">
        <f t="shared" si="10"/>
        <v>9.6774193548387094E-2</v>
      </c>
      <c r="AE13" s="19" t="e">
        <f t="shared" ca="1" si="11"/>
        <v>#NAME?</v>
      </c>
      <c r="AF13" s="20" t="e">
        <f t="shared" ca="1" si="12"/>
        <v>#NAME?</v>
      </c>
      <c r="AH13" s="14" t="e">
        <f t="array" aca="1" ref="AH13:AH14" ca="1">MMULT(AH9:AI10,MMULT(TRANSPOSE(DEsign(AC4:AC13)),($B$4:$B$13+$C$4:$C$13)*(AD4:AD13-AE4:AE13)))</f>
        <v>#NAME?</v>
      </c>
      <c r="AK13" s="2">
        <f t="shared" si="13"/>
        <v>950</v>
      </c>
      <c r="AL13" s="18">
        <f t="shared" si="13"/>
        <v>9.6774193548387094E-2</v>
      </c>
      <c r="AM13" s="19" t="e">
        <f t="shared" ca="1" si="14"/>
        <v>#NAME?</v>
      </c>
      <c r="AN13" s="20" t="e">
        <f t="shared" ca="1" si="15"/>
        <v>#NAME?</v>
      </c>
      <c r="AP13" s="14" t="e">
        <f t="array" aca="1" ref="AP13:AP14" ca="1">MMULT(AP9:AQ10,MMULT(TRANSPOSE(DEsign(AK4:AK13)),($B$4:$B$13+$C$4:$C$13)*(AL4:AL13-AM4:AM13)))</f>
        <v>#NAME?</v>
      </c>
      <c r="AS13" s="2">
        <f t="shared" si="16"/>
        <v>950</v>
      </c>
      <c r="AT13" s="18">
        <f t="shared" si="16"/>
        <v>9.6774193548387094E-2</v>
      </c>
      <c r="AU13" s="19" t="e">
        <f t="shared" ca="1" si="17"/>
        <v>#NAME?</v>
      </c>
      <c r="AV13" s="20" t="e">
        <f t="shared" ca="1" si="18"/>
        <v>#NAME?</v>
      </c>
      <c r="AX13" s="14" t="e">
        <f t="array" aca="1" ref="AX13:AX14" ca="1">MMULT(AX9:AY10,MMULT(TRANSPOSE(DEsign(AS4:AS13)),AT4:AT13-AU4:AU13))</f>
        <v>#NAME?</v>
      </c>
    </row>
    <row r="14" spans="1:51" x14ac:dyDescent="0.35">
      <c r="B14">
        <f>SUM(B4:B13)</f>
        <v>458</v>
      </c>
      <c r="C14">
        <f>SUM(C4:C13)</f>
        <v>302</v>
      </c>
      <c r="E14" s="2"/>
      <c r="F14" s="2"/>
      <c r="G14" s="2"/>
      <c r="H14" s="2">
        <f>SUM(H4:H13)</f>
        <v>-526.79185722555849</v>
      </c>
      <c r="J14" s="15" t="e">
        <f ca="1"/>
        <v>#NAME?</v>
      </c>
      <c r="M14" s="2"/>
      <c r="N14" s="2"/>
      <c r="O14" s="2"/>
      <c r="P14" s="2" t="e">
        <f ca="1">SUM(P4:P13)</f>
        <v>#NAME?</v>
      </c>
      <c r="R14" s="15" t="e">
        <f ca="1"/>
        <v>#NAME?</v>
      </c>
      <c r="U14" s="2"/>
      <c r="V14" s="2"/>
      <c r="W14" s="2"/>
      <c r="X14" s="2" t="e">
        <f ca="1">SUM(X4:X13)</f>
        <v>#NAME?</v>
      </c>
      <c r="Z14" s="15" t="e">
        <f ca="1"/>
        <v>#NAME?</v>
      </c>
      <c r="AC14" s="2"/>
      <c r="AD14" s="2"/>
      <c r="AE14" s="2"/>
      <c r="AF14" s="2" t="e">
        <f ca="1">SUM(AF4:AF13)</f>
        <v>#NAME?</v>
      </c>
      <c r="AH14" s="15" t="e">
        <f ca="1"/>
        <v>#NAME?</v>
      </c>
      <c r="AK14" s="2"/>
      <c r="AL14" s="2"/>
      <c r="AM14" s="2"/>
      <c r="AN14" s="2" t="e">
        <f ca="1">SUM(AN4:AN13)</f>
        <v>#NAME?</v>
      </c>
      <c r="AP14" s="15" t="e">
        <f ca="1"/>
        <v>#NAME?</v>
      </c>
      <c r="AS14" s="2"/>
      <c r="AT14" s="2"/>
      <c r="AU14" s="2"/>
      <c r="AV14" s="2" t="e">
        <f ca="1">SUM(AV4:AV13)</f>
        <v>#NAME?</v>
      </c>
      <c r="AX14" s="15" t="e">
        <f ca="1"/>
        <v>#NAME?</v>
      </c>
    </row>
    <row r="16" spans="1:51" x14ac:dyDescent="0.35">
      <c r="N16" t="s">
        <v>3</v>
      </c>
      <c r="V16" t="s">
        <v>4</v>
      </c>
    </row>
    <row r="17" spans="13:27" ht="14.5" customHeight="1" x14ac:dyDescent="0.35"/>
    <row r="18" spans="13:27" x14ac:dyDescent="0.35">
      <c r="M18" s="2" t="s">
        <v>9</v>
      </c>
      <c r="N18" s="3" t="s">
        <v>10</v>
      </c>
      <c r="O18" s="3" t="s">
        <v>11</v>
      </c>
      <c r="P18" s="3" t="s">
        <v>12</v>
      </c>
      <c r="Q18" s="2"/>
      <c r="R18" s="4" t="s">
        <v>13</v>
      </c>
      <c r="T18" s="2"/>
      <c r="U18" s="2" t="s">
        <v>9</v>
      </c>
      <c r="V18" s="3" t="s">
        <v>10</v>
      </c>
      <c r="W18" s="3" t="s">
        <v>11</v>
      </c>
      <c r="X18" s="3" t="s">
        <v>12</v>
      </c>
      <c r="Y18" s="2"/>
      <c r="Z18" s="4" t="s">
        <v>13</v>
      </c>
    </row>
    <row r="19" spans="13:27" x14ac:dyDescent="0.35">
      <c r="M19" s="2">
        <f>U4</f>
        <v>50</v>
      </c>
      <c r="N19" s="7">
        <f>V4</f>
        <v>1</v>
      </c>
      <c r="O19" s="8" t="e">
        <f ca="1">1/(1+EXP(-R$20-R$21*M19))</f>
        <v>#NAME?</v>
      </c>
      <c r="P19" s="9" t="e">
        <f ca="1">($B4+$C4)*(N19*LN(O19)+(1-N19)*LN(1-O19))</f>
        <v>#NAME?</v>
      </c>
      <c r="U19" s="2">
        <f>M19</f>
        <v>50</v>
      </c>
      <c r="V19" s="7">
        <f>N19</f>
        <v>1</v>
      </c>
      <c r="W19" s="8" t="e">
        <f ca="1">1/(1+EXP(-Z$20-Z$21*U19))</f>
        <v>#NAME?</v>
      </c>
      <c r="X19" s="9" t="e">
        <f ca="1">($B4+$C4)*(V19*LN(W19)+(1-V19)*LN(1-W19))</f>
        <v>#NAME?</v>
      </c>
    </row>
    <row r="20" spans="13:27" x14ac:dyDescent="0.35">
      <c r="M20" s="2">
        <f>U5</f>
        <v>150</v>
      </c>
      <c r="N20" s="12">
        <f>V5</f>
        <v>0.96666666666666667</v>
      </c>
      <c r="O20" s="2" t="e">
        <f t="shared" ref="O20:O28" ca="1" si="20">1/(1+EXP(-R$20-R$21*M20))</f>
        <v>#NAME?</v>
      </c>
      <c r="P20" s="13" t="e">
        <f ca="1">($B5+$C5)*(N20*LN(O20)+(1-N20)*LN(1-O20))</f>
        <v>#NAME?</v>
      </c>
      <c r="R20" s="14" t="e">
        <f t="array" ref="R20:R21" ca="1">Z5:Z6+Z13:Z14</f>
        <v>#NAME?</v>
      </c>
      <c r="U20" s="2">
        <f t="shared" ref="U20:V28" si="21">M20</f>
        <v>150</v>
      </c>
      <c r="V20" s="12">
        <f t="shared" si="21"/>
        <v>0.96666666666666667</v>
      </c>
      <c r="W20" s="2" t="e">
        <f t="shared" ref="W20:W28" ca="1" si="22">1/(1+EXP(-Z$20-Z$21*U20))</f>
        <v>#NAME?</v>
      </c>
      <c r="X20" s="13" t="e">
        <f ca="1">($B5+$C5)*(V20*LN(W20)+(1-V20)*LN(1-W20))</f>
        <v>#NAME?</v>
      </c>
      <c r="Z20" s="14" t="e">
        <f t="array" ref="Z20:Z21" ca="1">R20:R21+R28:R29</f>
        <v>#NAME?</v>
      </c>
    </row>
    <row r="21" spans="13:27" x14ac:dyDescent="0.35">
      <c r="M21" s="2">
        <f>U6</f>
        <v>250</v>
      </c>
      <c r="N21" s="12">
        <f>V6</f>
        <v>0.93548387096774188</v>
      </c>
      <c r="O21" s="2" t="e">
        <f t="shared" ca="1" si="20"/>
        <v>#NAME?</v>
      </c>
      <c r="P21" s="13" t="e">
        <f ca="1">($B6+$C6)*(N21*LN(O21)+(1-N21)*LN(1-O21))</f>
        <v>#NAME?</v>
      </c>
      <c r="R21" s="15" t="e">
        <f ca="1"/>
        <v>#NAME?</v>
      </c>
      <c r="U21" s="2">
        <f t="shared" si="21"/>
        <v>250</v>
      </c>
      <c r="V21" s="12">
        <f t="shared" si="21"/>
        <v>0.93548387096774188</v>
      </c>
      <c r="W21" s="2" t="e">
        <f t="shared" ca="1" si="22"/>
        <v>#NAME?</v>
      </c>
      <c r="X21" s="13" t="e">
        <f ca="1">($B6+$C6)*(V21*LN(W21)+(1-V21)*LN(1-W21))</f>
        <v>#NAME?</v>
      </c>
      <c r="Z21" s="15" t="e">
        <f ca="1"/>
        <v>#NAME?</v>
      </c>
    </row>
    <row r="22" spans="13:27" x14ac:dyDescent="0.35">
      <c r="M22" s="2">
        <f>U7</f>
        <v>350</v>
      </c>
      <c r="N22" s="12">
        <f>V7</f>
        <v>0.87209302325581395</v>
      </c>
      <c r="O22" s="2" t="e">
        <f t="shared" ca="1" si="20"/>
        <v>#NAME?</v>
      </c>
      <c r="P22" s="13" t="e">
        <f ca="1">($B7+$C7)*(N22*LN(O22)+(1-N22)*LN(1-O22))</f>
        <v>#NAME?</v>
      </c>
      <c r="U22" s="2">
        <f t="shared" si="21"/>
        <v>350</v>
      </c>
      <c r="V22" s="12">
        <f t="shared" si="21"/>
        <v>0.87209302325581395</v>
      </c>
      <c r="W22" s="2" t="e">
        <f t="shared" ca="1" si="22"/>
        <v>#NAME?</v>
      </c>
      <c r="X22" s="13" t="e">
        <f ca="1">($B7+$C7)*(V22*LN(W22)+(1-V22)*LN(1-W22))</f>
        <v>#NAME?</v>
      </c>
    </row>
    <row r="23" spans="13:27" x14ac:dyDescent="0.35">
      <c r="M23" s="2">
        <f>U8</f>
        <v>450</v>
      </c>
      <c r="N23" s="12">
        <f>V8</f>
        <v>0.78703703703703709</v>
      </c>
      <c r="O23" s="2" t="e">
        <f t="shared" ca="1" si="20"/>
        <v>#NAME?</v>
      </c>
      <c r="P23" s="13" t="e">
        <f ca="1">($B8+$C8)*(N23*LN(O23)+(1-N23)*LN(1-O23))</f>
        <v>#NAME?</v>
      </c>
      <c r="R23" t="s">
        <v>14</v>
      </c>
      <c r="U23" s="2">
        <f t="shared" si="21"/>
        <v>450</v>
      </c>
      <c r="V23" s="12">
        <f t="shared" si="21"/>
        <v>0.78703703703703709</v>
      </c>
      <c r="W23" s="2" t="e">
        <f t="shared" ca="1" si="22"/>
        <v>#NAME?</v>
      </c>
      <c r="X23" s="13" t="e">
        <f ca="1">($B8+$C8)*(V23*LN(W23)+(1-V23)*LN(1-W23))</f>
        <v>#NAME?</v>
      </c>
      <c r="Z23" t="s">
        <v>14</v>
      </c>
    </row>
    <row r="24" spans="13:27" x14ac:dyDescent="0.35">
      <c r="M24" s="2">
        <f>U9</f>
        <v>550</v>
      </c>
      <c r="N24" s="12">
        <f>V9</f>
        <v>0.62745098039215685</v>
      </c>
      <c r="O24" s="2" t="e">
        <f t="shared" ca="1" si="20"/>
        <v>#NAME?</v>
      </c>
      <c r="P24" s="13" t="e">
        <f ca="1">($B9+$C9)*(N24*LN(O24)+(1-N24)*LN(1-O24))</f>
        <v>#NAME?</v>
      </c>
      <c r="R24" s="5" t="e">
        <f t="array" aca="1" ref="R24:S25" ca="1">MINVERSE(MMULT(TRANSPOSE(DEsign(M19:M28)*O19:O28*(1-O19:O28)*($B$4:$B$13+$C$4:$C$13)),DEsign(M19:M28)))</f>
        <v>#NAME?</v>
      </c>
      <c r="S24" s="6" t="e">
        <f ca="1"/>
        <v>#NAME?</v>
      </c>
      <c r="U24" s="2">
        <f t="shared" si="21"/>
        <v>550</v>
      </c>
      <c r="V24" s="12">
        <f t="shared" si="21"/>
        <v>0.62745098039215685</v>
      </c>
      <c r="W24" s="2" t="e">
        <f t="shared" ca="1" si="22"/>
        <v>#NAME?</v>
      </c>
      <c r="X24" s="13" t="e">
        <f ca="1">($B9+$C9)*(V24*LN(W24)+(1-V24)*LN(1-W24))</f>
        <v>#NAME?</v>
      </c>
      <c r="Z24" s="5" t="e">
        <f t="array" aca="1" ref="Z24:AA25" ca="1">MINVERSE(MMULT(TRANSPOSE(DEsign(U19:U28)*W19:W28*(1-W19:W28)*($B$4:$B$13+$C$4:$C$13)),DEsign(U19:U28)))</f>
        <v>#NAME?</v>
      </c>
      <c r="AA24" s="6" t="e">
        <f ca="1"/>
        <v>#NAME?</v>
      </c>
    </row>
    <row r="25" spans="13:27" x14ac:dyDescent="0.35">
      <c r="M25" s="2">
        <f>U10</f>
        <v>650</v>
      </c>
      <c r="N25" s="12">
        <f>V10</f>
        <v>0.42063492063492064</v>
      </c>
      <c r="O25" s="2" t="e">
        <f t="shared" ca="1" si="20"/>
        <v>#NAME?</v>
      </c>
      <c r="P25" s="13" t="e">
        <f ca="1">($B10+$C10)*(N25*LN(O25)+(1-N25)*LN(1-O25))</f>
        <v>#NAME?</v>
      </c>
      <c r="R25" s="16" t="e">
        <f ca="1"/>
        <v>#NAME?</v>
      </c>
      <c r="S25" s="17" t="e">
        <f ca="1"/>
        <v>#NAME?</v>
      </c>
      <c r="U25" s="2">
        <f t="shared" si="21"/>
        <v>650</v>
      </c>
      <c r="V25" s="12">
        <f t="shared" si="21"/>
        <v>0.42063492063492064</v>
      </c>
      <c r="W25" s="2" t="e">
        <f t="shared" ca="1" si="22"/>
        <v>#NAME?</v>
      </c>
      <c r="X25" s="13" t="e">
        <f ca="1">($B10+$C10)*(V25*LN(W25)+(1-V25)*LN(1-W25))</f>
        <v>#NAME?</v>
      </c>
      <c r="Z25" s="16" t="e">
        <f ca="1"/>
        <v>#NAME?</v>
      </c>
      <c r="AA25" s="17" t="e">
        <f ca="1"/>
        <v>#NAME?</v>
      </c>
    </row>
    <row r="26" spans="13:27" x14ac:dyDescent="0.35">
      <c r="M26" s="2">
        <f>U11</f>
        <v>750</v>
      </c>
      <c r="N26" s="12">
        <f>V11</f>
        <v>0.2767857142857143</v>
      </c>
      <c r="O26" s="2" t="e">
        <f t="shared" ca="1" si="20"/>
        <v>#NAME?</v>
      </c>
      <c r="P26" s="13" t="e">
        <f ca="1">($B11+$C11)*(N26*LN(O26)+(1-N26)*LN(1-O26))</f>
        <v>#NAME?</v>
      </c>
      <c r="U26" s="2">
        <f t="shared" si="21"/>
        <v>750</v>
      </c>
      <c r="V26" s="12">
        <f t="shared" si="21"/>
        <v>0.2767857142857143</v>
      </c>
      <c r="W26" s="2" t="e">
        <f t="shared" ca="1" si="22"/>
        <v>#NAME?</v>
      </c>
      <c r="X26" s="13" t="e">
        <f ca="1">($B11+$C11)*(V26*LN(W26)+(1-V26)*LN(1-W26))</f>
        <v>#NAME?</v>
      </c>
    </row>
    <row r="27" spans="13:27" x14ac:dyDescent="0.35">
      <c r="M27" s="2">
        <f>U12</f>
        <v>850</v>
      </c>
      <c r="N27" s="12">
        <f>V12</f>
        <v>0.19607843137254902</v>
      </c>
      <c r="O27" s="2" t="e">
        <f t="shared" ca="1" si="20"/>
        <v>#NAME?</v>
      </c>
      <c r="P27" s="13" t="e">
        <f ca="1">($B12+$C12)*(N27*LN(O27)+(1-N27)*LN(1-O27))</f>
        <v>#NAME?</v>
      </c>
      <c r="R27" t="s">
        <v>112</v>
      </c>
      <c r="U27" s="2">
        <f t="shared" si="21"/>
        <v>850</v>
      </c>
      <c r="V27" s="12">
        <f t="shared" si="21"/>
        <v>0.19607843137254902</v>
      </c>
      <c r="W27" s="2" t="e">
        <f t="shared" ca="1" si="22"/>
        <v>#NAME?</v>
      </c>
      <c r="X27" s="13" t="e">
        <f ca="1">($B12+$C12)*(V27*LN(W27)+(1-V27)*LN(1-W27))</f>
        <v>#NAME?</v>
      </c>
      <c r="Z27" t="s">
        <v>112</v>
      </c>
    </row>
    <row r="28" spans="13:27" x14ac:dyDescent="0.35">
      <c r="M28" s="2">
        <f>U13</f>
        <v>950</v>
      </c>
      <c r="N28" s="18">
        <f>V13</f>
        <v>9.6774193548387094E-2</v>
      </c>
      <c r="O28" s="19" t="e">
        <f t="shared" ca="1" si="20"/>
        <v>#NAME?</v>
      </c>
      <c r="P28" s="20" t="e">
        <f ca="1">($B13+$C13)*(N28*LN(O28)+(1-N28)*LN(1-O28))</f>
        <v>#NAME?</v>
      </c>
      <c r="R28" s="14" t="e">
        <f t="array" aca="1" ref="R28:R29" ca="1">MMULT(R24:S25,MMULT(TRANSPOSE(DEsign(M19:M28)),($B$4:$B$13+$C$4:$C$13)*(N19:N28-O19:O28)))</f>
        <v>#NAME?</v>
      </c>
      <c r="U28" s="2">
        <f t="shared" si="21"/>
        <v>950</v>
      </c>
      <c r="V28" s="18">
        <f t="shared" si="21"/>
        <v>9.6774193548387094E-2</v>
      </c>
      <c r="W28" s="19" t="e">
        <f t="shared" ca="1" si="22"/>
        <v>#NAME?</v>
      </c>
      <c r="X28" s="20" t="e">
        <f ca="1">($B13+$C13)*(V28*LN(W28)+(1-V28)*LN(1-W28))</f>
        <v>#NAME?</v>
      </c>
      <c r="Z28" s="14" t="e">
        <f t="array" aca="1" ref="Z28:Z29" ca="1">MMULT(Z24:AA25,MMULT(TRANSPOSE(DEsign(U19:U28)),($B$4:$B$13+$C$4:$C$13)*(V19:V28-W19:W28)))</f>
        <v>#NAME?</v>
      </c>
    </row>
    <row r="29" spans="13:27" x14ac:dyDescent="0.35">
      <c r="M29" s="2"/>
      <c r="N29" s="2"/>
      <c r="O29" s="2"/>
      <c r="P29" s="2" t="e">
        <f ca="1">SUM(P19:P28)</f>
        <v>#NAME?</v>
      </c>
      <c r="R29" s="15" t="e">
        <f ca="1"/>
        <v>#NAME?</v>
      </c>
      <c r="U29" s="2"/>
      <c r="V29" s="2"/>
      <c r="W29" s="2"/>
      <c r="X29" s="2" t="e">
        <f ca="1">SUM(X19:X28)</f>
        <v>#NAME?</v>
      </c>
      <c r="Z29" s="15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8B77-7204-4AB4-90AC-DA4BBE00A1B2}">
  <sheetPr codeName="Sheet267"/>
  <dimension ref="A1:AM33"/>
  <sheetViews>
    <sheetView zoomScale="105" workbookViewId="0"/>
  </sheetViews>
  <sheetFormatPr defaultRowHeight="14.5" x14ac:dyDescent="0.35"/>
  <cols>
    <col min="1" max="3" width="9.26953125" bestFit="1" customWidth="1"/>
    <col min="4" max="4" width="5" customWidth="1"/>
    <col min="5" max="5" width="9.453125" bestFit="1" customWidth="1"/>
    <col min="6" max="7" width="9.54296875" bestFit="1" customWidth="1"/>
    <col min="8" max="9" width="8.7265625" customWidth="1"/>
    <col min="10" max="12" width="9.54296875" bestFit="1" customWidth="1"/>
    <col min="13" max="14" width="9.26953125" bestFit="1" customWidth="1"/>
    <col min="15" max="15" width="8.7265625" customWidth="1"/>
    <col min="16" max="16" width="4.54296875" customWidth="1"/>
    <col min="17" max="17" width="9.26953125" customWidth="1"/>
    <col min="18" max="18" width="4.26953125" customWidth="1"/>
    <col min="20" max="20" width="8.7265625" customWidth="1"/>
    <col min="21" max="21" width="5" customWidth="1"/>
    <col min="22" max="22" width="9.26953125" bestFit="1" customWidth="1"/>
    <col min="24" max="24" width="4.7265625" customWidth="1"/>
  </cols>
  <sheetData>
    <row r="1" spans="1:39" x14ac:dyDescent="0.35">
      <c r="A1" s="1" t="s">
        <v>16</v>
      </c>
    </row>
    <row r="3" spans="1:39" x14ac:dyDescent="0.35">
      <c r="A3" s="2" t="s">
        <v>6</v>
      </c>
      <c r="B3" s="2" t="s">
        <v>7</v>
      </c>
      <c r="C3" s="2" t="s">
        <v>8</v>
      </c>
      <c r="E3" t="s">
        <v>17</v>
      </c>
      <c r="AA3" t="s">
        <v>18</v>
      </c>
      <c r="AF3" t="s">
        <v>19</v>
      </c>
    </row>
    <row r="4" spans="1:39" ht="15" thickBot="1" x14ac:dyDescent="0.4">
      <c r="A4">
        <v>50</v>
      </c>
      <c r="B4" s="5">
        <v>21</v>
      </c>
      <c r="C4" s="6">
        <v>0</v>
      </c>
    </row>
    <row r="5" spans="1:39" ht="15" thickTop="1" x14ac:dyDescent="0.35">
      <c r="A5">
        <f>A4+100</f>
        <v>150</v>
      </c>
      <c r="B5" s="10">
        <v>29</v>
      </c>
      <c r="C5" s="11">
        <v>1</v>
      </c>
      <c r="E5" s="21" t="str">
        <f>A3</f>
        <v>Rems</v>
      </c>
      <c r="F5" s="21" t="str">
        <f>B3</f>
        <v>Survived</v>
      </c>
      <c r="G5" s="21" t="str">
        <f>C3</f>
        <v>Died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12</v>
      </c>
      <c r="N5" s="21" t="s">
        <v>25</v>
      </c>
      <c r="Q5" t="s">
        <v>13</v>
      </c>
      <c r="S5" t="s">
        <v>26</v>
      </c>
      <c r="T5" s="22">
        <f>F16*LN(F16/H16)+G16*LN(G16/H16)</f>
        <v>-510.66696372157895</v>
      </c>
      <c r="V5" t="s">
        <v>14</v>
      </c>
      <c r="Y5" t="s">
        <v>27</v>
      </c>
      <c r="AB5" s="3" t="s">
        <v>28</v>
      </c>
      <c r="AC5" s="3" t="s">
        <v>29</v>
      </c>
      <c r="AF5" s="21" t="s">
        <v>22</v>
      </c>
      <c r="AG5" s="21" t="s">
        <v>30</v>
      </c>
      <c r="AH5" s="21" t="s">
        <v>31</v>
      </c>
      <c r="AI5" s="21" t="s">
        <v>32</v>
      </c>
      <c r="AJ5" s="21" t="s">
        <v>33</v>
      </c>
      <c r="AK5" s="21" t="s">
        <v>34</v>
      </c>
      <c r="AL5" s="21" t="s">
        <v>35</v>
      </c>
      <c r="AM5" s="21" t="s">
        <v>36</v>
      </c>
    </row>
    <row r="6" spans="1:39" x14ac:dyDescent="0.35">
      <c r="A6">
        <f t="shared" ref="A6:A13" si="0">A5+100</f>
        <v>250</v>
      </c>
      <c r="B6" s="10">
        <v>87</v>
      </c>
      <c r="C6" s="11">
        <v>6</v>
      </c>
      <c r="E6">
        <f t="shared" ref="E6:G15" si="1">A4</f>
        <v>50</v>
      </c>
      <c r="F6" s="23">
        <f t="shared" si="1"/>
        <v>21</v>
      </c>
      <c r="G6">
        <f t="shared" si="1"/>
        <v>0</v>
      </c>
      <c r="H6" s="24">
        <f>F6+G6</f>
        <v>21</v>
      </c>
      <c r="I6">
        <f>F6/H6</f>
        <v>1</v>
      </c>
      <c r="J6" t="e">
        <f ca="1">1/(1+EXP(-$Q$7-$Q$8*E6))</f>
        <v>#NAME?</v>
      </c>
      <c r="K6" s="25" t="e">
        <f ca="1">H6*J6</f>
        <v>#NAME?</v>
      </c>
      <c r="L6" s="26" t="e">
        <f ca="1">H6-K6</f>
        <v>#NAME?</v>
      </c>
      <c r="M6" t="e">
        <f ca="1">H6*(I6*LN(J6)+(1-I6)*LN(1-J6))</f>
        <v>#NAME?</v>
      </c>
      <c r="N6" t="e">
        <f ca="1">100*IF(J6&gt;=$AB$12,F6/H6,G6/H6)</f>
        <v>#NAME?</v>
      </c>
      <c r="S6" t="s">
        <v>37</v>
      </c>
      <c r="T6" s="27" t="e">
        <f ca="1">M16</f>
        <v>#NAME?</v>
      </c>
      <c r="V6" s="25" t="e">
        <f t="array" aca="1" ref="V6:W7" ca="1">MINVERSE(MMULT(TRANSPOSE(DEsign(E6:E15)),J6:J15*(1-J6:J15)*H6:H15*DEsign(E6:E15)))</f>
        <v>#NAME?</v>
      </c>
      <c r="W6" s="26" t="e">
        <f ca="1"/>
        <v>#NAME?</v>
      </c>
      <c r="Y6" s="22" t="e">
        <f t="array" aca="1" ref="Y6:Y7" ca="1">MMULT(V6:W7,MMULT(TRANSPOSE(DEsign(E6:E15)),H6:H15*(I6:I15-J6:J15)))</f>
        <v>#NAME?</v>
      </c>
      <c r="AA6" t="s">
        <v>23</v>
      </c>
      <c r="AB6" s="25">
        <f ca="1">SUMIF(J6:J15,"&gt;="&amp;AB12,F6:F15)</f>
        <v>0</v>
      </c>
      <c r="AC6" s="26">
        <f ca="1">SUMIF(J6:J15,"&gt;="&amp;AB12,G6:G15)</f>
        <v>0</v>
      </c>
      <c r="AD6">
        <f ca="1">AB6+AC6</f>
        <v>0</v>
      </c>
      <c r="AI6">
        <v>0</v>
      </c>
      <c r="AJ6">
        <v>0</v>
      </c>
      <c r="AK6" t="e">
        <f ca="1">1-AI6/AI$16</f>
        <v>#NAME?</v>
      </c>
      <c r="AL6" t="e">
        <f ca="1">1-AJ6/AJ$16</f>
        <v>#NAME?</v>
      </c>
      <c r="AM6" t="e">
        <f ca="1">(AK6-AK7)*AL6</f>
        <v>#NAME?</v>
      </c>
    </row>
    <row r="7" spans="1:39" x14ac:dyDescent="0.35">
      <c r="A7">
        <f t="shared" si="0"/>
        <v>350</v>
      </c>
      <c r="B7" s="10">
        <v>75</v>
      </c>
      <c r="C7" s="11">
        <v>11</v>
      </c>
      <c r="E7">
        <f t="shared" si="1"/>
        <v>150</v>
      </c>
      <c r="F7" s="23">
        <f t="shared" si="1"/>
        <v>29</v>
      </c>
      <c r="G7">
        <f t="shared" si="1"/>
        <v>1</v>
      </c>
      <c r="H7" s="24">
        <f t="shared" ref="H7:H15" si="2">F7+G7</f>
        <v>30</v>
      </c>
      <c r="I7">
        <f t="shared" ref="I7:I15" si="3">F7/H7</f>
        <v>0.96666666666666667</v>
      </c>
      <c r="J7" t="e">
        <f t="shared" ref="J7:J15" ca="1" si="4">1/(1+EXP(-$Q$7-$Q$8*E7))</f>
        <v>#NAME?</v>
      </c>
      <c r="K7" s="23" t="e">
        <f t="shared" ref="K7:K15" ca="1" si="5">H7*J7</f>
        <v>#NAME?</v>
      </c>
      <c r="L7" s="24" t="e">
        <f t="shared" ref="L7:L15" ca="1" si="6">H7-K7</f>
        <v>#NAME?</v>
      </c>
      <c r="M7" t="e">
        <f t="shared" ref="M7:M15" ca="1" si="7">H7*(I7*LN(J7)+(1-I7)*LN(1-J7))</f>
        <v>#NAME?</v>
      </c>
      <c r="N7" t="e">
        <f t="shared" ref="N7:N15" ca="1" si="8">100*IF(J7&gt;=$AB$12,F7/H7,G7/H7)</f>
        <v>#NAME?</v>
      </c>
      <c r="Q7" s="22" t="e">
        <f t="array" aca="1" ref="Q7:Q8" ca="1">LogitCoeff(E6:G15,,,,,20)</f>
        <v>#NAME?</v>
      </c>
      <c r="V7" s="28" t="e">
        <f ca="1"/>
        <v>#NAME?</v>
      </c>
      <c r="W7" s="29" t="e">
        <f ca="1"/>
        <v>#NAME?</v>
      </c>
      <c r="Y7" s="27" t="e">
        <f ca="1"/>
        <v>#NAME?</v>
      </c>
      <c r="AA7" t="s">
        <v>24</v>
      </c>
      <c r="AB7" s="28">
        <f ca="1">AB8-AB6</f>
        <v>458</v>
      </c>
      <c r="AC7" s="29">
        <f ca="1">AC8-AC6</f>
        <v>302</v>
      </c>
      <c r="AD7">
        <f ca="1">AB7+AC7</f>
        <v>760</v>
      </c>
      <c r="AF7" t="e">
        <f t="array" aca="1" ref="AF7:AH16" ca="1">SelectCols(F6:J15,"5,2,1",1)</f>
        <v>#NAME?</v>
      </c>
      <c r="AG7" t="e">
        <f ca="1"/>
        <v>#NAME?</v>
      </c>
      <c r="AH7" t="e">
        <f ca="1"/>
        <v>#NAME?</v>
      </c>
      <c r="AI7" t="e">
        <f ca="1">AI6+AG7</f>
        <v>#NAME?</v>
      </c>
      <c r="AJ7" t="e">
        <f ca="1">AJ6+AH7</f>
        <v>#NAME?</v>
      </c>
      <c r="AK7" t="e">
        <f t="shared" ref="AK7:AL16" ca="1" si="9">1-AI7/AI$16</f>
        <v>#NAME?</v>
      </c>
      <c r="AL7" t="e">
        <f t="shared" ca="1" si="9"/>
        <v>#NAME?</v>
      </c>
      <c r="AM7" t="e">
        <f t="shared" ref="AM7:AM16" ca="1" si="10">(AK7-AK8)*AL7</f>
        <v>#NAME?</v>
      </c>
    </row>
    <row r="8" spans="1:39" x14ac:dyDescent="0.35">
      <c r="A8">
        <f t="shared" si="0"/>
        <v>450</v>
      </c>
      <c r="B8" s="10">
        <v>85</v>
      </c>
      <c r="C8" s="11">
        <v>23</v>
      </c>
      <c r="E8">
        <f t="shared" si="1"/>
        <v>250</v>
      </c>
      <c r="F8" s="23">
        <f t="shared" si="1"/>
        <v>87</v>
      </c>
      <c r="G8">
        <f t="shared" si="1"/>
        <v>6</v>
      </c>
      <c r="H8" s="24">
        <f t="shared" si="2"/>
        <v>93</v>
      </c>
      <c r="I8">
        <f t="shared" si="3"/>
        <v>0.93548387096774188</v>
      </c>
      <c r="J8" t="e">
        <f t="shared" ca="1" si="4"/>
        <v>#NAME?</v>
      </c>
      <c r="K8" s="23" t="e">
        <f t="shared" ca="1" si="5"/>
        <v>#NAME?</v>
      </c>
      <c r="L8" s="24" t="e">
        <f t="shared" ca="1" si="6"/>
        <v>#NAME?</v>
      </c>
      <c r="M8" t="e">
        <f t="shared" ca="1" si="7"/>
        <v>#NAME?</v>
      </c>
      <c r="N8" t="e">
        <f t="shared" ca="1" si="8"/>
        <v>#NAME?</v>
      </c>
      <c r="Q8" s="27" t="e">
        <f ca="1"/>
        <v>#NAME?</v>
      </c>
      <c r="S8" t="s">
        <v>38</v>
      </c>
      <c r="T8" s="22" t="e">
        <f ca="1">2*(T6-T5)</f>
        <v>#NAME?</v>
      </c>
      <c r="AB8">
        <f>F16</f>
        <v>458</v>
      </c>
      <c r="AC8">
        <f>G16</f>
        <v>302</v>
      </c>
      <c r="AD8">
        <f>AB8+AC8</f>
        <v>760</v>
      </c>
      <c r="AF8" t="e">
        <f ca="1"/>
        <v>#NAME?</v>
      </c>
      <c r="AG8" t="e">
        <f ca="1"/>
        <v>#NAME?</v>
      </c>
      <c r="AH8" t="e">
        <f ca="1"/>
        <v>#NAME?</v>
      </c>
      <c r="AI8" t="e">
        <f t="shared" ref="AI8:AJ16" ca="1" si="11">AI7+AG8</f>
        <v>#NAME?</v>
      </c>
      <c r="AJ8" t="e">
        <f t="shared" ca="1" si="11"/>
        <v>#NAME?</v>
      </c>
      <c r="AK8" t="e">
        <f t="shared" ca="1" si="9"/>
        <v>#NAME?</v>
      </c>
      <c r="AL8" t="e">
        <f t="shared" ca="1" si="9"/>
        <v>#NAME?</v>
      </c>
      <c r="AM8" t="e">
        <f t="shared" ca="1" si="10"/>
        <v>#NAME?</v>
      </c>
    </row>
    <row r="9" spans="1:39" x14ac:dyDescent="0.35">
      <c r="A9">
        <f t="shared" si="0"/>
        <v>550</v>
      </c>
      <c r="B9" s="10">
        <v>64</v>
      </c>
      <c r="C9" s="11">
        <v>38</v>
      </c>
      <c r="E9">
        <f t="shared" si="1"/>
        <v>350</v>
      </c>
      <c r="F9" s="23">
        <f t="shared" si="1"/>
        <v>75</v>
      </c>
      <c r="G9">
        <f t="shared" si="1"/>
        <v>11</v>
      </c>
      <c r="H9" s="24">
        <f t="shared" si="2"/>
        <v>86</v>
      </c>
      <c r="I9">
        <f t="shared" si="3"/>
        <v>0.87209302325581395</v>
      </c>
      <c r="J9" t="e">
        <f t="shared" ca="1" si="4"/>
        <v>#NAME?</v>
      </c>
      <c r="K9" s="23" t="e">
        <f t="shared" ca="1" si="5"/>
        <v>#NAME?</v>
      </c>
      <c r="L9" s="24" t="e">
        <f t="shared" ca="1" si="6"/>
        <v>#NAME?</v>
      </c>
      <c r="M9" t="e">
        <f t="shared" ca="1" si="7"/>
        <v>#NAME?</v>
      </c>
      <c r="N9" t="e">
        <f t="shared" ca="1" si="8"/>
        <v>#NAME?</v>
      </c>
      <c r="S9" t="s">
        <v>39</v>
      </c>
      <c r="T9" s="31">
        <f>COUNT(E6)</f>
        <v>1</v>
      </c>
      <c r="AF9" t="e">
        <f ca="1"/>
        <v>#NAME?</v>
      </c>
      <c r="AG9" t="e">
        <f ca="1"/>
        <v>#NAME?</v>
      </c>
      <c r="AH9" t="e">
        <f ca="1"/>
        <v>#NAME?</v>
      </c>
      <c r="AI9" t="e">
        <f t="shared" ca="1" si="11"/>
        <v>#NAME?</v>
      </c>
      <c r="AJ9" t="e">
        <f t="shared" ca="1" si="11"/>
        <v>#NAME?</v>
      </c>
      <c r="AK9" t="e">
        <f t="shared" ca="1" si="9"/>
        <v>#NAME?</v>
      </c>
      <c r="AL9" t="e">
        <f t="shared" ca="1" si="9"/>
        <v>#NAME?</v>
      </c>
      <c r="AM9" t="e">
        <f t="shared" ca="1" si="10"/>
        <v>#NAME?</v>
      </c>
    </row>
    <row r="10" spans="1:39" x14ac:dyDescent="0.35">
      <c r="A10">
        <f t="shared" si="0"/>
        <v>650</v>
      </c>
      <c r="B10" s="10">
        <v>53</v>
      </c>
      <c r="C10" s="11">
        <v>73</v>
      </c>
      <c r="E10">
        <f t="shared" si="1"/>
        <v>450</v>
      </c>
      <c r="F10" s="23">
        <f t="shared" si="1"/>
        <v>85</v>
      </c>
      <c r="G10">
        <f t="shared" si="1"/>
        <v>23</v>
      </c>
      <c r="H10" s="24">
        <f t="shared" si="2"/>
        <v>108</v>
      </c>
      <c r="I10">
        <f t="shared" si="3"/>
        <v>0.78703703703703709</v>
      </c>
      <c r="J10" t="e">
        <f t="shared" ca="1" si="4"/>
        <v>#NAME?</v>
      </c>
      <c r="K10" s="23" t="e">
        <f t="shared" ca="1" si="5"/>
        <v>#NAME?</v>
      </c>
      <c r="L10" s="24" t="e">
        <f t="shared" ca="1" si="6"/>
        <v>#NAME?</v>
      </c>
      <c r="M10" t="e">
        <f t="shared" ca="1" si="7"/>
        <v>#NAME?</v>
      </c>
      <c r="N10" t="e">
        <f t="shared" ca="1" si="8"/>
        <v>#NAME?</v>
      </c>
      <c r="S10" t="s">
        <v>40</v>
      </c>
      <c r="T10" s="31" t="e">
        <f ca="1">_xlfn.CHISQ.DIST.RT(T8,T9)</f>
        <v>#NAME?</v>
      </c>
      <c r="AA10" t="s">
        <v>41</v>
      </c>
      <c r="AB10" s="32">
        <f ca="1">AB6/AB8</f>
        <v>0</v>
      </c>
      <c r="AC10" s="33">
        <f ca="1">AC7/AC8</f>
        <v>1</v>
      </c>
      <c r="AD10">
        <f ca="1">(AB6+AC7)/AD8</f>
        <v>0.39736842105263159</v>
      </c>
      <c r="AF10" t="e">
        <f ca="1"/>
        <v>#NAME?</v>
      </c>
      <c r="AG10" t="e">
        <f ca="1"/>
        <v>#NAME?</v>
      </c>
      <c r="AH10" t="e">
        <f ca="1"/>
        <v>#NAME?</v>
      </c>
      <c r="AI10" t="e">
        <f t="shared" ca="1" si="11"/>
        <v>#NAME?</v>
      </c>
      <c r="AJ10" t="e">
        <f t="shared" ca="1" si="11"/>
        <v>#NAME?</v>
      </c>
      <c r="AK10" t="e">
        <f t="shared" ca="1" si="9"/>
        <v>#NAME?</v>
      </c>
      <c r="AL10" t="e">
        <f t="shared" ca="1" si="9"/>
        <v>#NAME?</v>
      </c>
      <c r="AM10" t="e">
        <f t="shared" ca="1" si="10"/>
        <v>#NAME?</v>
      </c>
    </row>
    <row r="11" spans="1:39" x14ac:dyDescent="0.35">
      <c r="A11">
        <f t="shared" si="0"/>
        <v>750</v>
      </c>
      <c r="B11" s="10">
        <v>31</v>
      </c>
      <c r="C11" s="11">
        <v>81</v>
      </c>
      <c r="E11">
        <f t="shared" si="1"/>
        <v>550</v>
      </c>
      <c r="F11" s="23">
        <f t="shared" si="1"/>
        <v>64</v>
      </c>
      <c r="G11">
        <f t="shared" si="1"/>
        <v>38</v>
      </c>
      <c r="H11" s="24">
        <f t="shared" si="2"/>
        <v>102</v>
      </c>
      <c r="I11">
        <f t="shared" si="3"/>
        <v>0.62745098039215685</v>
      </c>
      <c r="J11" t="e">
        <f t="shared" ca="1" si="4"/>
        <v>#NAME?</v>
      </c>
      <c r="K11" s="23" t="e">
        <f t="shared" ca="1" si="5"/>
        <v>#NAME?</v>
      </c>
      <c r="L11" s="24" t="e">
        <f t="shared" ca="1" si="6"/>
        <v>#NAME?</v>
      </c>
      <c r="M11" t="e">
        <f t="shared" ca="1" si="7"/>
        <v>#NAME?</v>
      </c>
      <c r="N11" t="e">
        <f t="shared" ca="1" si="8"/>
        <v>#NAME?</v>
      </c>
      <c r="S11" t="s">
        <v>42</v>
      </c>
      <c r="T11" s="31">
        <v>0.05</v>
      </c>
      <c r="AF11" t="e">
        <f ca="1"/>
        <v>#NAME?</v>
      </c>
      <c r="AG11" t="e">
        <f ca="1"/>
        <v>#NAME?</v>
      </c>
      <c r="AH11" t="e">
        <f ca="1"/>
        <v>#NAME?</v>
      </c>
      <c r="AI11" t="e">
        <f t="shared" ca="1" si="11"/>
        <v>#NAME?</v>
      </c>
      <c r="AJ11" t="e">
        <f t="shared" ca="1" si="11"/>
        <v>#NAME?</v>
      </c>
      <c r="AK11" t="e">
        <f t="shared" ca="1" si="9"/>
        <v>#NAME?</v>
      </c>
      <c r="AL11" t="e">
        <f t="shared" ca="1" si="9"/>
        <v>#NAME?</v>
      </c>
      <c r="AM11" t="e">
        <f t="shared" ca="1" si="10"/>
        <v>#NAME?</v>
      </c>
    </row>
    <row r="12" spans="1:39" x14ac:dyDescent="0.35">
      <c r="A12">
        <f t="shared" si="0"/>
        <v>850</v>
      </c>
      <c r="B12" s="10">
        <v>10</v>
      </c>
      <c r="C12" s="11">
        <v>41</v>
      </c>
      <c r="E12">
        <f t="shared" si="1"/>
        <v>650</v>
      </c>
      <c r="F12" s="23">
        <f t="shared" si="1"/>
        <v>53</v>
      </c>
      <c r="G12">
        <f t="shared" si="1"/>
        <v>73</v>
      </c>
      <c r="H12" s="24">
        <f t="shared" si="2"/>
        <v>126</v>
      </c>
      <c r="I12">
        <f t="shared" si="3"/>
        <v>0.42063492063492064</v>
      </c>
      <c r="J12" t="e">
        <f t="shared" ca="1" si="4"/>
        <v>#NAME?</v>
      </c>
      <c r="K12" s="23" t="e">
        <f t="shared" ca="1" si="5"/>
        <v>#NAME?</v>
      </c>
      <c r="L12" s="24" t="e">
        <f t="shared" ca="1" si="6"/>
        <v>#NAME?</v>
      </c>
      <c r="M12" t="e">
        <f t="shared" ca="1" si="7"/>
        <v>#NAME?</v>
      </c>
      <c r="N12" t="e">
        <f t="shared" ca="1" si="8"/>
        <v>#NAME?</v>
      </c>
      <c r="S12" t="s">
        <v>43</v>
      </c>
      <c r="T12" s="34" t="e">
        <f ca="1">IF(T10&lt;T11,"yes","no")</f>
        <v>#NAME?</v>
      </c>
      <c r="AA12" t="s">
        <v>44</v>
      </c>
      <c r="AB12" s="35">
        <v>0.5</v>
      </c>
      <c r="AF12" t="e">
        <f ca="1"/>
        <v>#NAME?</v>
      </c>
      <c r="AG12" t="e">
        <f ca="1"/>
        <v>#NAME?</v>
      </c>
      <c r="AH12" t="e">
        <f ca="1"/>
        <v>#NAME?</v>
      </c>
      <c r="AI12" t="e">
        <f t="shared" ca="1" si="11"/>
        <v>#NAME?</v>
      </c>
      <c r="AJ12" t="e">
        <f t="shared" ca="1" si="11"/>
        <v>#NAME?</v>
      </c>
      <c r="AK12" t="e">
        <f t="shared" ca="1" si="9"/>
        <v>#NAME?</v>
      </c>
      <c r="AL12" t="e">
        <f t="shared" ca="1" si="9"/>
        <v>#NAME?</v>
      </c>
      <c r="AM12" t="e">
        <f t="shared" ca="1" si="10"/>
        <v>#NAME?</v>
      </c>
    </row>
    <row r="13" spans="1:39" x14ac:dyDescent="0.35">
      <c r="A13">
        <f t="shared" si="0"/>
        <v>950</v>
      </c>
      <c r="B13" s="16">
        <v>3</v>
      </c>
      <c r="C13" s="17">
        <v>28</v>
      </c>
      <c r="E13">
        <f t="shared" si="1"/>
        <v>750</v>
      </c>
      <c r="F13" s="23">
        <f t="shared" si="1"/>
        <v>31</v>
      </c>
      <c r="G13">
        <f t="shared" si="1"/>
        <v>81</v>
      </c>
      <c r="H13" s="24">
        <f t="shared" si="2"/>
        <v>112</v>
      </c>
      <c r="I13">
        <f t="shared" si="3"/>
        <v>0.2767857142857143</v>
      </c>
      <c r="J13" t="e">
        <f t="shared" ca="1" si="4"/>
        <v>#NAME?</v>
      </c>
      <c r="K13" s="23" t="e">
        <f t="shared" ca="1" si="5"/>
        <v>#NAME?</v>
      </c>
      <c r="L13" s="24" t="e">
        <f t="shared" ca="1" si="6"/>
        <v>#NAME?</v>
      </c>
      <c r="M13" t="e">
        <f t="shared" ca="1" si="7"/>
        <v>#NAME?</v>
      </c>
      <c r="N13" t="e">
        <f t="shared" ca="1" si="8"/>
        <v>#NAME?</v>
      </c>
      <c r="AF13" t="e">
        <f ca="1"/>
        <v>#NAME?</v>
      </c>
      <c r="AG13" t="e">
        <f ca="1"/>
        <v>#NAME?</v>
      </c>
      <c r="AH13" t="e">
        <f ca="1"/>
        <v>#NAME?</v>
      </c>
      <c r="AI13" t="e">
        <f t="shared" ca="1" si="11"/>
        <v>#NAME?</v>
      </c>
      <c r="AJ13" t="e">
        <f t="shared" ca="1" si="11"/>
        <v>#NAME?</v>
      </c>
      <c r="AK13" t="e">
        <f t="shared" ca="1" si="9"/>
        <v>#NAME?</v>
      </c>
      <c r="AL13" t="e">
        <f t="shared" ca="1" si="9"/>
        <v>#NAME?</v>
      </c>
      <c r="AM13" t="e">
        <f t="shared" ca="1" si="10"/>
        <v>#NAME?</v>
      </c>
    </row>
    <row r="14" spans="1:39" x14ac:dyDescent="0.35">
      <c r="B14">
        <f>SUM(B4:B13)</f>
        <v>458</v>
      </c>
      <c r="C14">
        <f>SUM(C4:C13)</f>
        <v>302</v>
      </c>
      <c r="E14">
        <f t="shared" si="1"/>
        <v>850</v>
      </c>
      <c r="F14" s="23">
        <f t="shared" si="1"/>
        <v>10</v>
      </c>
      <c r="G14">
        <f t="shared" si="1"/>
        <v>41</v>
      </c>
      <c r="H14" s="24">
        <f t="shared" si="2"/>
        <v>51</v>
      </c>
      <c r="I14">
        <f t="shared" si="3"/>
        <v>0.19607843137254902</v>
      </c>
      <c r="J14" t="e">
        <f t="shared" ca="1" si="4"/>
        <v>#NAME?</v>
      </c>
      <c r="K14" s="23" t="e">
        <f t="shared" ca="1" si="5"/>
        <v>#NAME?</v>
      </c>
      <c r="L14" s="24" t="e">
        <f t="shared" ca="1" si="6"/>
        <v>#NAME?</v>
      </c>
      <c r="M14" t="e">
        <f t="shared" ca="1" si="7"/>
        <v>#NAME?</v>
      </c>
      <c r="N14" t="e">
        <f t="shared" ca="1" si="8"/>
        <v>#NAME?</v>
      </c>
      <c r="S14" t="s">
        <v>45</v>
      </c>
      <c r="T14" s="22" t="e">
        <f ca="1">1-T6/T5</f>
        <v>#NAME?</v>
      </c>
      <c r="AF14" t="e">
        <f ca="1"/>
        <v>#NAME?</v>
      </c>
      <c r="AG14" t="e">
        <f ca="1"/>
        <v>#NAME?</v>
      </c>
      <c r="AH14" t="e">
        <f ca="1"/>
        <v>#NAME?</v>
      </c>
      <c r="AI14" t="e">
        <f t="shared" ca="1" si="11"/>
        <v>#NAME?</v>
      </c>
      <c r="AJ14" t="e">
        <f t="shared" ca="1" si="11"/>
        <v>#NAME?</v>
      </c>
      <c r="AK14" t="e">
        <f t="shared" ca="1" si="9"/>
        <v>#NAME?</v>
      </c>
      <c r="AL14" t="e">
        <f t="shared" ca="1" si="9"/>
        <v>#NAME?</v>
      </c>
      <c r="AM14" t="e">
        <f t="shared" ca="1" si="10"/>
        <v>#NAME?</v>
      </c>
    </row>
    <row r="15" spans="1:39" x14ac:dyDescent="0.35">
      <c r="E15">
        <f t="shared" si="1"/>
        <v>950</v>
      </c>
      <c r="F15" s="28">
        <f t="shared" si="1"/>
        <v>3</v>
      </c>
      <c r="G15" s="36">
        <f t="shared" si="1"/>
        <v>28</v>
      </c>
      <c r="H15" s="24">
        <f t="shared" si="2"/>
        <v>31</v>
      </c>
      <c r="I15">
        <f t="shared" si="3"/>
        <v>9.6774193548387094E-2</v>
      </c>
      <c r="J15" t="e">
        <f t="shared" ca="1" si="4"/>
        <v>#NAME?</v>
      </c>
      <c r="K15" s="23" t="e">
        <f t="shared" ca="1" si="5"/>
        <v>#NAME?</v>
      </c>
      <c r="L15" s="24" t="e">
        <f t="shared" ca="1" si="6"/>
        <v>#NAME?</v>
      </c>
      <c r="M15" t="e">
        <f t="shared" ca="1" si="7"/>
        <v>#NAME?</v>
      </c>
      <c r="N15" t="e">
        <f t="shared" ca="1" si="8"/>
        <v>#NAME?</v>
      </c>
      <c r="S15" t="s">
        <v>46</v>
      </c>
      <c r="T15" s="31" t="e">
        <f ca="1">1-EXP((-2/H16)*(T6-T5))</f>
        <v>#NAME?</v>
      </c>
      <c r="AF15" t="e">
        <f ca="1"/>
        <v>#NAME?</v>
      </c>
      <c r="AG15" t="e">
        <f ca="1"/>
        <v>#NAME?</v>
      </c>
      <c r="AH15" t="e">
        <f ca="1"/>
        <v>#NAME?</v>
      </c>
      <c r="AI15" t="e">
        <f t="shared" ca="1" si="11"/>
        <v>#NAME?</v>
      </c>
      <c r="AJ15" t="e">
        <f t="shared" ca="1" si="11"/>
        <v>#NAME?</v>
      </c>
      <c r="AK15" t="e">
        <f t="shared" ca="1" si="9"/>
        <v>#NAME?</v>
      </c>
      <c r="AL15" t="e">
        <f t="shared" ca="1" si="9"/>
        <v>#NAME?</v>
      </c>
      <c r="AM15" t="e">
        <f t="shared" ca="1" si="10"/>
        <v>#NAME?</v>
      </c>
    </row>
    <row r="16" spans="1:39" x14ac:dyDescent="0.35">
      <c r="E16" s="37"/>
      <c r="F16" s="37">
        <f>SUM(F6:F15)</f>
        <v>458</v>
      </c>
      <c r="G16" s="37">
        <f>SUM(G6:G15)</f>
        <v>302</v>
      </c>
      <c r="H16" s="37">
        <f>SUM(H6:H15)</f>
        <v>760</v>
      </c>
      <c r="I16" s="37"/>
      <c r="J16" s="37"/>
      <c r="K16" s="37" t="e">
        <f ca="1">SUM(K6:K15)</f>
        <v>#NAME?</v>
      </c>
      <c r="L16" s="37" t="e">
        <f ca="1">SUM(L6:L15)</f>
        <v>#NAME?</v>
      </c>
      <c r="M16" s="37" t="e">
        <f ca="1">SUM(M6:M15)</f>
        <v>#NAME?</v>
      </c>
      <c r="N16" s="37" t="e">
        <f ca="1">SUMPRODUCT(N6:N15,H6:H15)/H16</f>
        <v>#NAME?</v>
      </c>
      <c r="S16" t="s">
        <v>47</v>
      </c>
      <c r="T16" s="31" t="e">
        <f ca="1">T15/(1-EXP(2*T5/H16))</f>
        <v>#NAME?</v>
      </c>
      <c r="AF16" s="30" t="e">
        <f ca="1"/>
        <v>#NAME?</v>
      </c>
      <c r="AG16" s="30" t="e">
        <f ca="1"/>
        <v>#NAME?</v>
      </c>
      <c r="AH16" s="30" t="e">
        <f ca="1"/>
        <v>#NAME?</v>
      </c>
      <c r="AI16" s="30" t="e">
        <f t="shared" ca="1" si="11"/>
        <v>#NAME?</v>
      </c>
      <c r="AJ16" s="30" t="e">
        <f t="shared" ca="1" si="11"/>
        <v>#NAME?</v>
      </c>
      <c r="AK16" s="30" t="e">
        <f t="shared" ca="1" si="9"/>
        <v>#NAME?</v>
      </c>
      <c r="AL16" s="30" t="e">
        <f t="shared" ca="1" si="9"/>
        <v>#NAME?</v>
      </c>
      <c r="AM16" s="30" t="e">
        <f t="shared" ca="1" si="10"/>
        <v>#NAME?</v>
      </c>
    </row>
    <row r="17" spans="1:39" ht="15" thickBot="1" x14ac:dyDescent="0.4">
      <c r="S17" t="s">
        <v>110</v>
      </c>
      <c r="T17" s="31" t="e">
        <f ca="1">-2*T6+2*(T9+1)</f>
        <v>#NAME?</v>
      </c>
      <c r="AM17" t="e">
        <f ca="1">SUM(AM6:AM16)</f>
        <v>#NAME?</v>
      </c>
    </row>
    <row r="18" spans="1:39" ht="15" thickTop="1" x14ac:dyDescent="0.35">
      <c r="E18" s="21"/>
      <c r="F18" s="21" t="s">
        <v>48</v>
      </c>
      <c r="G18" s="21" t="s">
        <v>49</v>
      </c>
      <c r="H18" s="21" t="s">
        <v>50</v>
      </c>
      <c r="I18" s="21" t="s">
        <v>40</v>
      </c>
      <c r="J18" s="21" t="s">
        <v>51</v>
      </c>
      <c r="K18" s="21" t="s">
        <v>52</v>
      </c>
      <c r="L18" s="21" t="s">
        <v>53</v>
      </c>
      <c r="S18" t="s">
        <v>111</v>
      </c>
      <c r="T18" s="27" t="e">
        <f ca="1">-2*T6+(T9+1)*LN(H16)</f>
        <v>#NAME?</v>
      </c>
    </row>
    <row r="19" spans="1:39" x14ac:dyDescent="0.35">
      <c r="E19" t="s">
        <v>54</v>
      </c>
      <c r="F19" t="e">
        <f t="array" ref="F19:F20" ca="1">Q7:Q8</f>
        <v>#NAME?</v>
      </c>
      <c r="G19" t="e">
        <f t="array" aca="1" ref="G19:G20" ca="1">SQRT(DIAG(V6:W7))</f>
        <v>#NAME?</v>
      </c>
      <c r="H19" t="e">
        <f ca="1">(F19/G19)^2</f>
        <v>#NAME?</v>
      </c>
      <c r="I19" t="e">
        <f ca="1">CHIDIST(H19,1)</f>
        <v>#NAME?</v>
      </c>
      <c r="J19" t="e">
        <f ca="1">EXP(F19)</f>
        <v>#NAME?</v>
      </c>
      <c r="AB19" s="3" t="s">
        <v>28</v>
      </c>
      <c r="AC19" s="3" t="s">
        <v>29</v>
      </c>
    </row>
    <row r="20" spans="1:39" x14ac:dyDescent="0.35">
      <c r="E20" s="30" t="str">
        <f t="array" ref="E20">TRANSPOSE(E5)</f>
        <v>Rems</v>
      </c>
      <c r="F20" s="30" t="e">
        <f ca="1"/>
        <v>#NAME?</v>
      </c>
      <c r="G20" s="30" t="e">
        <f ca="1"/>
        <v>#NAME?</v>
      </c>
      <c r="H20" s="30" t="e">
        <f ca="1">(F20/G20)^2</f>
        <v>#NAME?</v>
      </c>
      <c r="I20" s="30" t="e">
        <f ca="1">CHIDIST(H20,1)</f>
        <v>#NAME?</v>
      </c>
      <c r="J20" s="30" t="e">
        <f ca="1">EXP(F20)</f>
        <v>#NAME?</v>
      </c>
      <c r="K20" s="30" t="e">
        <f ca="1">EXP(F20-G20*NORMSINV(1-$T$11/2))</f>
        <v>#NAME?</v>
      </c>
      <c r="L20" s="30" t="e">
        <f ca="1">EXP(F20+G20*NORMSINV(1-$T$11/2))</f>
        <v>#NAME?</v>
      </c>
      <c r="AA20" t="s">
        <v>23</v>
      </c>
      <c r="AB20" s="38" t="s">
        <v>55</v>
      </c>
      <c r="AC20" s="39" t="s">
        <v>56</v>
      </c>
      <c r="AD20" s="3" t="s">
        <v>57</v>
      </c>
    </row>
    <row r="21" spans="1:39" x14ac:dyDescent="0.35">
      <c r="AA21" t="s">
        <v>24</v>
      </c>
      <c r="AB21" s="40" t="s">
        <v>58</v>
      </c>
      <c r="AC21" s="41" t="s">
        <v>59</v>
      </c>
      <c r="AD21" s="3" t="s">
        <v>60</v>
      </c>
    </row>
    <row r="22" spans="1:39" x14ac:dyDescent="0.35">
      <c r="AB22" s="3" t="s">
        <v>61</v>
      </c>
      <c r="AC22" s="3" t="s">
        <v>62</v>
      </c>
      <c r="AD22" s="3" t="s">
        <v>63</v>
      </c>
    </row>
    <row r="24" spans="1:39" x14ac:dyDescent="0.35">
      <c r="A24" t="s">
        <v>64</v>
      </c>
    </row>
    <row r="25" spans="1:39" x14ac:dyDescent="0.35">
      <c r="E25" t="e">
        <f t="array" aca="1" ref="E25:L27" ca="1">LogitCoeff(A4:C13,TRUE)</f>
        <v>#NAME?</v>
      </c>
      <c r="F25" t="e">
        <f ca="1"/>
        <v>#NAME?</v>
      </c>
      <c r="G25" t="e">
        <f ca="1"/>
        <v>#NAME?</v>
      </c>
      <c r="H25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N25" t="e">
        <f t="array" aca="1" ref="N25:O31" ca="1">LogitRSquare(A4:C13,1)</f>
        <v>#NAME?</v>
      </c>
      <c r="O25" s="14" t="e">
        <f ca="1"/>
        <v>#NAME?</v>
      </c>
      <c r="S25" t="e">
        <f t="array" aca="1" ref="S25:T29" ca="1">LogitTest(A4:C13,1)</f>
        <v>#NAME?</v>
      </c>
      <c r="T25" s="14" t="e">
        <f ca="1"/>
        <v>#NAME?</v>
      </c>
    </row>
    <row r="26" spans="1:39" x14ac:dyDescent="0.35">
      <c r="E26" t="e">
        <f ca="1"/>
        <v>#NAME?</v>
      </c>
      <c r="F26" s="42" t="e">
        <f ca="1"/>
        <v>#NAME?</v>
      </c>
      <c r="G26" s="37" t="e">
        <f ca="1"/>
        <v>#NAME?</v>
      </c>
      <c r="H26" s="37" t="e">
        <f ca="1"/>
        <v>#NAME?</v>
      </c>
      <c r="I26" s="37" t="e">
        <f ca="1"/>
        <v>#NAME?</v>
      </c>
      <c r="J26" s="37" t="e">
        <f ca="1"/>
        <v>#NAME?</v>
      </c>
      <c r="K26" s="37" t="e">
        <f ca="1"/>
        <v>#NAME?</v>
      </c>
      <c r="L26" s="43" t="e">
        <f ca="1"/>
        <v>#NAME?</v>
      </c>
      <c r="N26" t="e">
        <f ca="1"/>
        <v>#NAME?</v>
      </c>
      <c r="O26" s="44" t="e">
        <f ca="1"/>
        <v>#NAME?</v>
      </c>
      <c r="S26" t="e">
        <f ca="1"/>
        <v>#NAME?</v>
      </c>
      <c r="T26" s="44" t="e">
        <f ca="1"/>
        <v>#NAME?</v>
      </c>
    </row>
    <row r="27" spans="1:39" x14ac:dyDescent="0.35">
      <c r="E27" t="e">
        <f ca="1"/>
        <v>#NAME?</v>
      </c>
      <c r="F27" s="16" t="e">
        <f ca="1"/>
        <v>#NAME?</v>
      </c>
      <c r="G27" s="30" t="e">
        <f ca="1"/>
        <v>#NAME?</v>
      </c>
      <c r="H27" s="30" t="e">
        <f ca="1"/>
        <v>#NAME?</v>
      </c>
      <c r="I27" s="30" t="e">
        <f ca="1"/>
        <v>#NAME?</v>
      </c>
      <c r="J27" s="30" t="e">
        <f ca="1"/>
        <v>#NAME?</v>
      </c>
      <c r="K27" s="30" t="e">
        <f ca="1"/>
        <v>#NAME?</v>
      </c>
      <c r="L27" s="17" t="e">
        <f ca="1"/>
        <v>#NAME?</v>
      </c>
      <c r="N27" t="e">
        <f ca="1"/>
        <v>#NAME?</v>
      </c>
      <c r="O27" s="44" t="e">
        <f ca="1"/>
        <v>#NAME?</v>
      </c>
      <c r="S27" t="e">
        <f ca="1"/>
        <v>#NAME?</v>
      </c>
      <c r="T27" s="44" t="e">
        <f ca="1"/>
        <v>#NAME?</v>
      </c>
    </row>
    <row r="28" spans="1:39" x14ac:dyDescent="0.35">
      <c r="N28" t="e">
        <f ca="1"/>
        <v>#NAME?</v>
      </c>
      <c r="O28" s="44" t="e">
        <f ca="1"/>
        <v>#NAME?</v>
      </c>
      <c r="S28" t="e">
        <f ca="1"/>
        <v>#NAME?</v>
      </c>
      <c r="T28" s="44" t="e">
        <f ca="1"/>
        <v>#NAME?</v>
      </c>
    </row>
    <row r="29" spans="1:39" x14ac:dyDescent="0.35">
      <c r="E29" t="s">
        <v>65</v>
      </c>
      <c r="N29" t="e">
        <f ca="1"/>
        <v>#NAME?</v>
      </c>
      <c r="O29" s="44" t="e">
        <f ca="1"/>
        <v>#NAME?</v>
      </c>
      <c r="S29" t="e">
        <f ca="1"/>
        <v>#NAME?</v>
      </c>
      <c r="T29" s="15" t="e">
        <f ca="1"/>
        <v>#NAME?</v>
      </c>
    </row>
    <row r="30" spans="1:39" x14ac:dyDescent="0.35">
      <c r="N30" t="e">
        <f ca="1"/>
        <v>#NAME?</v>
      </c>
      <c r="O30" s="44" t="e">
        <f ca="1"/>
        <v>#NAME?</v>
      </c>
    </row>
    <row r="31" spans="1:39" x14ac:dyDescent="0.35">
      <c r="E31" s="2" t="s">
        <v>66</v>
      </c>
      <c r="F31" s="3" t="s">
        <v>67</v>
      </c>
      <c r="N31" t="e">
        <f ca="1"/>
        <v>#NAME?</v>
      </c>
      <c r="O31" s="15" t="e">
        <f ca="1"/>
        <v>#NAME?</v>
      </c>
    </row>
    <row r="32" spans="1:39" x14ac:dyDescent="0.35">
      <c r="E32">
        <v>250</v>
      </c>
      <c r="F32" s="14" t="e">
        <f ca="1">LogitPred(E32:E32,$A$4:$C$13)</f>
        <v>#NAME?</v>
      </c>
    </row>
    <row r="33" spans="5:6" x14ac:dyDescent="0.35">
      <c r="E33">
        <v>300</v>
      </c>
      <c r="F33" s="15" t="e">
        <f ca="1">LogitPred(E33:E33,$A$4:$C$13)</f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A5EB9-4454-4DA0-BCD3-B95F2E814FDD}">
  <sheetPr codeName="Sheet269"/>
  <dimension ref="A1:AZ67"/>
  <sheetViews>
    <sheetView zoomScaleNormal="100" workbookViewId="0"/>
  </sheetViews>
  <sheetFormatPr defaultRowHeight="14.5" x14ac:dyDescent="0.35"/>
  <cols>
    <col min="1" max="3" width="7" customWidth="1"/>
    <col min="4" max="4" width="3" customWidth="1"/>
    <col min="7" max="8" width="9.1796875" customWidth="1"/>
    <col min="9" max="9" width="8.7265625" customWidth="1"/>
    <col min="14" max="14" width="8.7265625" customWidth="1"/>
    <col min="15" max="15" width="9.1796875" customWidth="1"/>
    <col min="16" max="16" width="8.7265625" customWidth="1"/>
    <col min="17" max="17" width="3.6328125" customWidth="1"/>
    <col min="18" max="18" width="8.81640625" customWidth="1"/>
    <col min="19" max="19" width="3.1796875" customWidth="1"/>
    <col min="20" max="20" width="9.1796875" customWidth="1"/>
    <col min="22" max="22" width="3.1796875" customWidth="1"/>
    <col min="24" max="24" width="9.1796875" customWidth="1"/>
    <col min="26" max="26" width="3.81640625" customWidth="1"/>
  </cols>
  <sheetData>
    <row r="1" spans="1:52" x14ac:dyDescent="0.35">
      <c r="A1" s="1" t="s">
        <v>68</v>
      </c>
    </row>
    <row r="3" spans="1:52" x14ac:dyDescent="0.35">
      <c r="A3" s="51" t="s">
        <v>69</v>
      </c>
      <c r="B3" s="51" t="s">
        <v>70</v>
      </c>
      <c r="C3" s="51" t="s">
        <v>71</v>
      </c>
      <c r="E3" t="s">
        <v>17</v>
      </c>
      <c r="AC3" t="s">
        <v>18</v>
      </c>
      <c r="AH3" t="s">
        <v>19</v>
      </c>
      <c r="AR3" t="s">
        <v>72</v>
      </c>
    </row>
    <row r="4" spans="1:52" ht="15" thickBot="1" x14ac:dyDescent="0.4">
      <c r="A4" s="50">
        <v>20</v>
      </c>
      <c r="B4" s="50">
        <v>0</v>
      </c>
      <c r="C4" s="50">
        <v>1</v>
      </c>
    </row>
    <row r="5" spans="1:52" ht="15" thickTop="1" x14ac:dyDescent="0.35">
      <c r="A5" s="50">
        <v>22</v>
      </c>
      <c r="B5" s="50">
        <v>1</v>
      </c>
      <c r="C5" s="50">
        <v>1</v>
      </c>
      <c r="E5" s="21" t="str">
        <f>A3</f>
        <v>Temp</v>
      </c>
      <c r="F5" s="21" t="str">
        <f>B3</f>
        <v>Water</v>
      </c>
      <c r="G5" s="21" t="s">
        <v>31</v>
      </c>
      <c r="H5" s="21" t="s">
        <v>30</v>
      </c>
      <c r="I5" s="21" t="s">
        <v>20</v>
      </c>
      <c r="J5" s="21" t="s">
        <v>21</v>
      </c>
      <c r="K5" s="21" t="s">
        <v>22</v>
      </c>
      <c r="L5" s="21" t="s">
        <v>23</v>
      </c>
      <c r="M5" s="21" t="s">
        <v>24</v>
      </c>
      <c r="N5" s="21" t="s">
        <v>12</v>
      </c>
      <c r="O5" s="21" t="s">
        <v>25</v>
      </c>
      <c r="R5" t="s">
        <v>13</v>
      </c>
      <c r="T5" t="s">
        <v>26</v>
      </c>
      <c r="U5" s="22" t="e">
        <f ca="1">G12*LN(G12/I12)+H12*LN(H12/I12)</f>
        <v>#NAME?</v>
      </c>
      <c r="W5" t="s">
        <v>14</v>
      </c>
      <c r="AA5" t="s">
        <v>27</v>
      </c>
      <c r="AD5" s="3" t="s">
        <v>28</v>
      </c>
      <c r="AE5" s="3" t="s">
        <v>29</v>
      </c>
      <c r="AH5" s="21" t="s">
        <v>22</v>
      </c>
      <c r="AI5" s="21" t="s">
        <v>30</v>
      </c>
      <c r="AJ5" s="21" t="s">
        <v>31</v>
      </c>
      <c r="AK5" s="21" t="s">
        <v>32</v>
      </c>
      <c r="AL5" s="21" t="s">
        <v>33</v>
      </c>
      <c r="AM5" s="21" t="s">
        <v>34</v>
      </c>
      <c r="AN5" s="21" t="s">
        <v>35</v>
      </c>
      <c r="AO5" s="21" t="s">
        <v>36</v>
      </c>
      <c r="AR5" s="2" t="s">
        <v>73</v>
      </c>
      <c r="AS5" s="2" t="s">
        <v>69</v>
      </c>
      <c r="AT5" s="2" t="s">
        <v>70</v>
      </c>
      <c r="AU5" s="2" t="s">
        <v>71</v>
      </c>
      <c r="AV5" s="2"/>
      <c r="AW5" s="2" t="s">
        <v>73</v>
      </c>
      <c r="AX5" s="2" t="s">
        <v>69</v>
      </c>
      <c r="AY5" s="2" t="s">
        <v>70</v>
      </c>
      <c r="AZ5" s="2" t="s">
        <v>71</v>
      </c>
    </row>
    <row r="6" spans="1:52" x14ac:dyDescent="0.35">
      <c r="A6" s="50">
        <v>22</v>
      </c>
      <c r="B6" s="50">
        <v>1</v>
      </c>
      <c r="C6" s="50">
        <v>0</v>
      </c>
      <c r="E6" t="e">
        <f t="array" aca="1" ref="E6:H11" ca="1">LogitSummary(A4:C52)</f>
        <v>#NAME?</v>
      </c>
      <c r="F6" t="e">
        <f ca="1"/>
        <v>#NAME?</v>
      </c>
      <c r="G6" s="23" t="e">
        <f ca="1"/>
        <v>#NAME?</v>
      </c>
      <c r="H6" t="e">
        <f ca="1"/>
        <v>#NAME?</v>
      </c>
      <c r="I6" s="24" t="e">
        <f t="shared" ref="I6:I11" ca="1" si="0">G6+H6</f>
        <v>#NAME?</v>
      </c>
      <c r="J6" t="e">
        <f t="shared" ref="J6:J11" ca="1" si="1">G6/I6</f>
        <v>#NAME?</v>
      </c>
      <c r="K6" t="e">
        <f t="shared" ref="K6:K11" ca="1" si="2">1/(1+EXP(-$R$7-MMULT(E6:F6,$R$8:$R$9)))</f>
        <v>#NAME?</v>
      </c>
      <c r="L6" s="25" t="e">
        <f t="shared" ref="L6:L11" ca="1" si="3">I6*K6</f>
        <v>#NAME?</v>
      </c>
      <c r="M6" s="26" t="e">
        <f t="shared" ref="M6:M11" ca="1" si="4">I6-L6</f>
        <v>#NAME?</v>
      </c>
      <c r="N6" t="e">
        <f t="shared" ref="N6:N11" ca="1" si="5">I6*(J6*LN(K6)+(1-J6)*LN(1-K6))</f>
        <v>#NAME?</v>
      </c>
      <c r="O6" t="e">
        <f t="shared" ref="O6:O11" ca="1" si="6">100*IF(K6&gt;=$AD$12,G6/I6,H6/I6)</f>
        <v>#NAME?</v>
      </c>
      <c r="T6" t="s">
        <v>37</v>
      </c>
      <c r="U6" s="27" t="e">
        <f ca="1">N12</f>
        <v>#NAME?</v>
      </c>
      <c r="W6" s="25" t="e">
        <f t="array" aca="1" ref="W6:Y8" ca="1">MINVERSE(MMULT(TRANSPOSE(DEsign(E6:F11)),K6:K11*(1-K6:K11)*I6:I11*DEsign(E6:F11)))</f>
        <v>#NAME?</v>
      </c>
      <c r="X6" s="45" t="e">
        <f ca="1"/>
        <v>#NAME?</v>
      </c>
      <c r="Y6" s="26" t="e">
        <f ca="1"/>
        <v>#NAME?</v>
      </c>
      <c r="AA6" s="22" t="e">
        <f t="array" aca="1" ref="AA6:AA8" ca="1">MMULT(W6:Y8,MMULT(TRANSPOSE(DEsign(E6:F11)),I6:I11*(J6:J11-K6:K11)))</f>
        <v>#NAME?</v>
      </c>
      <c r="AC6" t="s">
        <v>23</v>
      </c>
      <c r="AD6" s="25">
        <f ca="1">SUMIF(K6:K11,"&gt;="&amp;AD12,G6:G11)</f>
        <v>0</v>
      </c>
      <c r="AE6" s="26">
        <f ca="1">SUMIF(K6:K11,"&gt;="&amp;AD12,H6:H11)</f>
        <v>0</v>
      </c>
      <c r="AF6">
        <f ca="1">AD6+AE6</f>
        <v>0</v>
      </c>
      <c r="AK6">
        <v>0</v>
      </c>
      <c r="AL6">
        <v>0</v>
      </c>
      <c r="AM6" t="e">
        <f ca="1">1-AK6/AK$12</f>
        <v>#NAME?</v>
      </c>
      <c r="AN6" t="e">
        <f ca="1">1-AL6/AL$12</f>
        <v>#NAME?</v>
      </c>
      <c r="AO6" t="e">
        <f ca="1">(AM6-AM7)*AN6</f>
        <v>#NAME?</v>
      </c>
      <c r="AR6" s="14">
        <v>1</v>
      </c>
      <c r="AS6" s="42">
        <v>20</v>
      </c>
      <c r="AT6" s="37">
        <v>0</v>
      </c>
      <c r="AU6" s="14">
        <v>1</v>
      </c>
      <c r="AW6" s="42">
        <v>26</v>
      </c>
      <c r="AX6" s="42">
        <v>24</v>
      </c>
      <c r="AY6" s="37">
        <v>0</v>
      </c>
      <c r="AZ6" s="14">
        <v>0</v>
      </c>
    </row>
    <row r="7" spans="1:52" x14ac:dyDescent="0.35">
      <c r="A7" s="50">
        <v>24</v>
      </c>
      <c r="B7" s="50">
        <v>0</v>
      </c>
      <c r="C7" s="50">
        <v>0</v>
      </c>
      <c r="E7" t="e">
        <f ca="1"/>
        <v>#NAME?</v>
      </c>
      <c r="F7" t="e">
        <f ca="1"/>
        <v>#NAME?</v>
      </c>
      <c r="G7" s="23" t="e">
        <f ca="1"/>
        <v>#NAME?</v>
      </c>
      <c r="H7" t="e">
        <f ca="1"/>
        <v>#NAME?</v>
      </c>
      <c r="I7" s="24" t="e">
        <f t="shared" ca="1" si="0"/>
        <v>#NAME?</v>
      </c>
      <c r="J7" t="e">
        <f t="shared" ca="1" si="1"/>
        <v>#NAME?</v>
      </c>
      <c r="K7" t="e">
        <f t="shared" ca="1" si="2"/>
        <v>#NAME?</v>
      </c>
      <c r="L7" s="23" t="e">
        <f t="shared" ca="1" si="3"/>
        <v>#NAME?</v>
      </c>
      <c r="M7" s="24" t="e">
        <f t="shared" ca="1" si="4"/>
        <v>#NAME?</v>
      </c>
      <c r="N7" t="e">
        <f t="shared" ca="1" si="5"/>
        <v>#NAME?</v>
      </c>
      <c r="O7" t="e">
        <f t="shared" ca="1" si="6"/>
        <v>#NAME?</v>
      </c>
      <c r="R7" s="22" t="e">
        <f t="array" aca="1" ref="R7:R9" ca="1">LogitCoeff(E6:H11,,,,,20)</f>
        <v>#NAME?</v>
      </c>
      <c r="W7" s="23" t="e">
        <f ca="1"/>
        <v>#NAME?</v>
      </c>
      <c r="X7" t="e">
        <f ca="1"/>
        <v>#NAME?</v>
      </c>
      <c r="Y7" s="24" t="e">
        <f ca="1"/>
        <v>#NAME?</v>
      </c>
      <c r="AA7" s="31" t="e">
        <f ca="1"/>
        <v>#NAME?</v>
      </c>
      <c r="AC7" t="s">
        <v>24</v>
      </c>
      <c r="AD7" s="28" t="e">
        <f ca="1">AD8-AD6</f>
        <v>#NAME?</v>
      </c>
      <c r="AE7" s="29" t="e">
        <f ca="1">AE8-AE6</f>
        <v>#NAME?</v>
      </c>
      <c r="AF7" t="e">
        <f ca="1">AD7+AE7</f>
        <v>#NAME?</v>
      </c>
      <c r="AH7" t="e">
        <f t="array" aca="1" ref="AH7:AJ12" ca="1">SelectCols(G6:K11,"5,2,1",1)</f>
        <v>#NAME?</v>
      </c>
      <c r="AI7" t="e">
        <f ca="1"/>
        <v>#NAME?</v>
      </c>
      <c r="AJ7" t="e">
        <f ca="1"/>
        <v>#NAME?</v>
      </c>
      <c r="AK7" t="e">
        <f t="shared" ref="AK7:AL12" ca="1" si="7">AK6+AI7</f>
        <v>#NAME?</v>
      </c>
      <c r="AL7" t="e">
        <f t="shared" ca="1" si="7"/>
        <v>#NAME?</v>
      </c>
      <c r="AM7" t="e">
        <f t="shared" ref="AM7:AN12" ca="1" si="8">1-AK7/AK$12</f>
        <v>#NAME?</v>
      </c>
      <c r="AN7" t="e">
        <f t="shared" ca="1" si="8"/>
        <v>#NAME?</v>
      </c>
      <c r="AO7" t="e">
        <f t="shared" ref="AO7:AO12" ca="1" si="9">(AM7-AM8)*AN7</f>
        <v>#NAME?</v>
      </c>
      <c r="AR7" s="44">
        <f>AR6+1</f>
        <v>2</v>
      </c>
      <c r="AS7" s="10">
        <v>22</v>
      </c>
      <c r="AT7">
        <v>1</v>
      </c>
      <c r="AU7" s="44">
        <v>1</v>
      </c>
      <c r="AW7" s="10">
        <f>AW6+1</f>
        <v>27</v>
      </c>
      <c r="AX7" s="10">
        <v>22</v>
      </c>
      <c r="AY7">
        <v>0</v>
      </c>
      <c r="AZ7" s="44">
        <v>1</v>
      </c>
    </row>
    <row r="8" spans="1:52" x14ac:dyDescent="0.35">
      <c r="A8" s="50">
        <v>22</v>
      </c>
      <c r="B8" s="50">
        <v>0</v>
      </c>
      <c r="C8" s="50">
        <v>1</v>
      </c>
      <c r="E8" t="e">
        <f ca="1"/>
        <v>#NAME?</v>
      </c>
      <c r="F8" t="e">
        <f ca="1"/>
        <v>#NAME?</v>
      </c>
      <c r="G8" s="23" t="e">
        <f ca="1"/>
        <v>#NAME?</v>
      </c>
      <c r="H8" t="e">
        <f ca="1"/>
        <v>#NAME?</v>
      </c>
      <c r="I8" s="24" t="e">
        <f t="shared" ca="1" si="0"/>
        <v>#NAME?</v>
      </c>
      <c r="J8" t="e">
        <f t="shared" ca="1" si="1"/>
        <v>#NAME?</v>
      </c>
      <c r="K8" t="e">
        <f t="shared" ca="1" si="2"/>
        <v>#NAME?</v>
      </c>
      <c r="L8" s="23" t="e">
        <f t="shared" ca="1" si="3"/>
        <v>#NAME?</v>
      </c>
      <c r="M8" s="24" t="e">
        <f t="shared" ca="1" si="4"/>
        <v>#NAME?</v>
      </c>
      <c r="N8" t="e">
        <f t="shared" ca="1" si="5"/>
        <v>#NAME?</v>
      </c>
      <c r="O8" t="e">
        <f t="shared" ca="1" si="6"/>
        <v>#NAME?</v>
      </c>
      <c r="R8" s="31" t="e">
        <f ca="1"/>
        <v>#NAME?</v>
      </c>
      <c r="T8" t="s">
        <v>38</v>
      </c>
      <c r="U8" s="22" t="e">
        <f ca="1">2*(U6-U5)</f>
        <v>#NAME?</v>
      </c>
      <c r="W8" s="28" t="e">
        <f ca="1"/>
        <v>#NAME?</v>
      </c>
      <c r="X8" s="36" t="e">
        <f ca="1"/>
        <v>#NAME?</v>
      </c>
      <c r="Y8" s="29" t="e">
        <f ca="1"/>
        <v>#NAME?</v>
      </c>
      <c r="AA8" s="27" t="e">
        <f ca="1"/>
        <v>#NAME?</v>
      </c>
      <c r="AD8" t="e">
        <f ca="1">G12</f>
        <v>#NAME?</v>
      </c>
      <c r="AE8" t="e">
        <f ca="1">H12</f>
        <v>#NAME?</v>
      </c>
      <c r="AF8" t="e">
        <f ca="1">AD8+AE8</f>
        <v>#NAME?</v>
      </c>
      <c r="AH8" t="e">
        <f ca="1"/>
        <v>#NAME?</v>
      </c>
      <c r="AI8" t="e">
        <f ca="1"/>
        <v>#NAME?</v>
      </c>
      <c r="AJ8" t="e">
        <f ca="1"/>
        <v>#NAME?</v>
      </c>
      <c r="AK8" t="e">
        <f t="shared" ca="1" si="7"/>
        <v>#NAME?</v>
      </c>
      <c r="AL8" t="e">
        <f t="shared" ca="1" si="7"/>
        <v>#NAME?</v>
      </c>
      <c r="AM8" t="e">
        <f t="shared" ca="1" si="8"/>
        <v>#NAME?</v>
      </c>
      <c r="AN8" t="e">
        <f t="shared" ca="1" si="8"/>
        <v>#NAME?</v>
      </c>
      <c r="AO8" t="e">
        <f t="shared" ca="1" si="9"/>
        <v>#NAME?</v>
      </c>
      <c r="AR8" s="44">
        <f t="shared" ref="AR8:AR30" si="10">AR7+1</f>
        <v>3</v>
      </c>
      <c r="AS8" s="10">
        <v>22</v>
      </c>
      <c r="AT8">
        <v>1</v>
      </c>
      <c r="AU8" s="44">
        <v>0</v>
      </c>
      <c r="AW8" s="10">
        <f t="shared" ref="AW8:AW29" si="11">AW7+1</f>
        <v>28</v>
      </c>
      <c r="AX8" s="10">
        <v>24</v>
      </c>
      <c r="AY8">
        <v>1</v>
      </c>
      <c r="AZ8" s="44">
        <v>1</v>
      </c>
    </row>
    <row r="9" spans="1:52" x14ac:dyDescent="0.35">
      <c r="A9" s="50">
        <v>22</v>
      </c>
      <c r="B9" s="50">
        <v>1</v>
      </c>
      <c r="C9" s="50">
        <v>0</v>
      </c>
      <c r="E9" t="e">
        <f ca="1"/>
        <v>#NAME?</v>
      </c>
      <c r="F9" t="e">
        <f ca="1"/>
        <v>#NAME?</v>
      </c>
      <c r="G9" s="23" t="e">
        <f ca="1"/>
        <v>#NAME?</v>
      </c>
      <c r="H9" t="e">
        <f ca="1"/>
        <v>#NAME?</v>
      </c>
      <c r="I9" s="24" t="e">
        <f t="shared" ca="1" si="0"/>
        <v>#NAME?</v>
      </c>
      <c r="J9" t="e">
        <f t="shared" ca="1" si="1"/>
        <v>#NAME?</v>
      </c>
      <c r="K9" t="e">
        <f t="shared" ca="1" si="2"/>
        <v>#NAME?</v>
      </c>
      <c r="L9" s="23" t="e">
        <f t="shared" ca="1" si="3"/>
        <v>#NAME?</v>
      </c>
      <c r="M9" s="24" t="e">
        <f t="shared" ca="1" si="4"/>
        <v>#NAME?</v>
      </c>
      <c r="N9" t="e">
        <f t="shared" ca="1" si="5"/>
        <v>#NAME?</v>
      </c>
      <c r="O9" t="e">
        <f t="shared" ca="1" si="6"/>
        <v>#NAME?</v>
      </c>
      <c r="R9" s="27" t="e">
        <f ca="1"/>
        <v>#NAME?</v>
      </c>
      <c r="T9" t="s">
        <v>39</v>
      </c>
      <c r="U9" s="31">
        <f ca="1">COUNT(E6:F6)</f>
        <v>0</v>
      </c>
      <c r="AH9" t="e">
        <f ca="1"/>
        <v>#NAME?</v>
      </c>
      <c r="AI9" t="e">
        <f ca="1"/>
        <v>#NAME?</v>
      </c>
      <c r="AJ9" t="e">
        <f ca="1"/>
        <v>#NAME?</v>
      </c>
      <c r="AK9" t="e">
        <f t="shared" ca="1" si="7"/>
        <v>#NAME?</v>
      </c>
      <c r="AL9" t="e">
        <f t="shared" ca="1" si="7"/>
        <v>#NAME?</v>
      </c>
      <c r="AM9" t="e">
        <f t="shared" ca="1" si="8"/>
        <v>#NAME?</v>
      </c>
      <c r="AN9" t="e">
        <f t="shared" ca="1" si="8"/>
        <v>#NAME?</v>
      </c>
      <c r="AO9" t="e">
        <f t="shared" ca="1" si="9"/>
        <v>#NAME?</v>
      </c>
      <c r="AR9" s="44">
        <f t="shared" si="10"/>
        <v>4</v>
      </c>
      <c r="AS9" s="10">
        <v>24</v>
      </c>
      <c r="AT9">
        <v>0</v>
      </c>
      <c r="AU9" s="44">
        <v>0</v>
      </c>
      <c r="AW9" s="10">
        <f t="shared" si="11"/>
        <v>29</v>
      </c>
      <c r="AX9" s="10">
        <v>24</v>
      </c>
      <c r="AY9">
        <v>0</v>
      </c>
      <c r="AZ9" s="44">
        <v>1</v>
      </c>
    </row>
    <row r="10" spans="1:52" x14ac:dyDescent="0.35">
      <c r="A10" s="50">
        <v>20</v>
      </c>
      <c r="B10" s="50">
        <v>1</v>
      </c>
      <c r="C10" s="50">
        <v>0</v>
      </c>
      <c r="E10" t="e">
        <f ca="1"/>
        <v>#NAME?</v>
      </c>
      <c r="F10" t="e">
        <f ca="1"/>
        <v>#NAME?</v>
      </c>
      <c r="G10" s="23" t="e">
        <f ca="1"/>
        <v>#NAME?</v>
      </c>
      <c r="H10" t="e">
        <f ca="1"/>
        <v>#NAME?</v>
      </c>
      <c r="I10" s="24" t="e">
        <f t="shared" ca="1" si="0"/>
        <v>#NAME?</v>
      </c>
      <c r="J10" t="e">
        <f t="shared" ca="1" si="1"/>
        <v>#NAME?</v>
      </c>
      <c r="K10" t="e">
        <f t="shared" ca="1" si="2"/>
        <v>#NAME?</v>
      </c>
      <c r="L10" s="23" t="e">
        <f t="shared" ca="1" si="3"/>
        <v>#NAME?</v>
      </c>
      <c r="M10" s="24" t="e">
        <f t="shared" ca="1" si="4"/>
        <v>#NAME?</v>
      </c>
      <c r="N10" t="e">
        <f t="shared" ca="1" si="5"/>
        <v>#NAME?</v>
      </c>
      <c r="O10" t="e">
        <f t="shared" ca="1" si="6"/>
        <v>#NAME?</v>
      </c>
      <c r="T10" t="s">
        <v>40</v>
      </c>
      <c r="U10" s="31" t="e">
        <f ca="1">CHIDIST(U8,U9)</f>
        <v>#NAME?</v>
      </c>
      <c r="AC10" t="s">
        <v>41</v>
      </c>
      <c r="AD10" s="32" t="e">
        <f ca="1">AD6/AD8</f>
        <v>#NAME?</v>
      </c>
      <c r="AE10" s="33" t="e">
        <f ca="1">AE7/AE8</f>
        <v>#NAME?</v>
      </c>
      <c r="AF10" t="e">
        <f ca="1">(AD6+AE7)/AF8</f>
        <v>#NAME?</v>
      </c>
      <c r="AH10" t="e">
        <f ca="1"/>
        <v>#NAME?</v>
      </c>
      <c r="AI10" t="e">
        <f ca="1"/>
        <v>#NAME?</v>
      </c>
      <c r="AJ10" t="e">
        <f ca="1"/>
        <v>#NAME?</v>
      </c>
      <c r="AK10" t="e">
        <f t="shared" ca="1" si="7"/>
        <v>#NAME?</v>
      </c>
      <c r="AL10" t="e">
        <f t="shared" ca="1" si="7"/>
        <v>#NAME?</v>
      </c>
      <c r="AM10" t="e">
        <f t="shared" ca="1" si="8"/>
        <v>#NAME?</v>
      </c>
      <c r="AN10" t="e">
        <f t="shared" ca="1" si="8"/>
        <v>#NAME?</v>
      </c>
      <c r="AO10" t="e">
        <f t="shared" ca="1" si="9"/>
        <v>#NAME?</v>
      </c>
      <c r="AR10" s="44">
        <f t="shared" si="10"/>
        <v>5</v>
      </c>
      <c r="AS10" s="10">
        <v>22</v>
      </c>
      <c r="AT10">
        <v>0</v>
      </c>
      <c r="AU10" s="44">
        <v>1</v>
      </c>
      <c r="AW10" s="10">
        <f t="shared" si="11"/>
        <v>30</v>
      </c>
      <c r="AX10" s="10">
        <v>22</v>
      </c>
      <c r="AY10">
        <v>1</v>
      </c>
      <c r="AZ10" s="44">
        <v>1</v>
      </c>
    </row>
    <row r="11" spans="1:52" x14ac:dyDescent="0.35">
      <c r="A11" s="50">
        <v>24</v>
      </c>
      <c r="B11" s="50">
        <v>1</v>
      </c>
      <c r="C11" s="50">
        <v>0</v>
      </c>
      <c r="E11" t="e">
        <f ca="1"/>
        <v>#NAME?</v>
      </c>
      <c r="F11" t="e">
        <f ca="1"/>
        <v>#NAME?</v>
      </c>
      <c r="G11" s="28" t="e">
        <f ca="1"/>
        <v>#NAME?</v>
      </c>
      <c r="H11" s="36" t="e">
        <f ca="1"/>
        <v>#NAME?</v>
      </c>
      <c r="I11" s="24" t="e">
        <f t="shared" ca="1" si="0"/>
        <v>#NAME?</v>
      </c>
      <c r="J11" t="e">
        <f t="shared" ca="1" si="1"/>
        <v>#NAME?</v>
      </c>
      <c r="K11" t="e">
        <f t="shared" ca="1" si="2"/>
        <v>#NAME?</v>
      </c>
      <c r="L11" s="23" t="e">
        <f t="shared" ca="1" si="3"/>
        <v>#NAME?</v>
      </c>
      <c r="M11" s="24" t="e">
        <f t="shared" ca="1" si="4"/>
        <v>#NAME?</v>
      </c>
      <c r="N11" t="e">
        <f t="shared" ca="1" si="5"/>
        <v>#NAME?</v>
      </c>
      <c r="O11" t="e">
        <f t="shared" ca="1" si="6"/>
        <v>#NAME?</v>
      </c>
      <c r="T11" t="s">
        <v>42</v>
      </c>
      <c r="U11" s="31">
        <v>0.05</v>
      </c>
      <c r="AH11" t="e">
        <f ca="1"/>
        <v>#NAME?</v>
      </c>
      <c r="AI11" t="e">
        <f ca="1"/>
        <v>#NAME?</v>
      </c>
      <c r="AJ11" t="e">
        <f ca="1"/>
        <v>#NAME?</v>
      </c>
      <c r="AK11" t="e">
        <f t="shared" ca="1" si="7"/>
        <v>#NAME?</v>
      </c>
      <c r="AL11" t="e">
        <f t="shared" ca="1" si="7"/>
        <v>#NAME?</v>
      </c>
      <c r="AM11" t="e">
        <f t="shared" ca="1" si="8"/>
        <v>#NAME?</v>
      </c>
      <c r="AN11" t="e">
        <f t="shared" ca="1" si="8"/>
        <v>#NAME?</v>
      </c>
      <c r="AO11" t="e">
        <f t="shared" ca="1" si="9"/>
        <v>#NAME?</v>
      </c>
      <c r="AR11" s="44">
        <f t="shared" si="10"/>
        <v>6</v>
      </c>
      <c r="AS11" s="10">
        <v>22</v>
      </c>
      <c r="AT11">
        <v>1</v>
      </c>
      <c r="AU11" s="44">
        <v>0</v>
      </c>
      <c r="AW11" s="10">
        <f t="shared" si="11"/>
        <v>31</v>
      </c>
      <c r="AX11" s="10">
        <v>22</v>
      </c>
      <c r="AY11">
        <v>0</v>
      </c>
      <c r="AZ11" s="44">
        <v>0</v>
      </c>
    </row>
    <row r="12" spans="1:52" x14ac:dyDescent="0.35">
      <c r="A12" s="50">
        <v>24</v>
      </c>
      <c r="B12" s="50">
        <v>0</v>
      </c>
      <c r="C12" s="50">
        <v>0</v>
      </c>
      <c r="E12" s="37"/>
      <c r="F12" s="37"/>
      <c r="G12" s="37" t="e">
        <f ca="1">SUM(G6:G11)</f>
        <v>#NAME?</v>
      </c>
      <c r="H12" s="37" t="e">
        <f ca="1">SUM(H6:H11)</f>
        <v>#NAME?</v>
      </c>
      <c r="I12" s="37" t="e">
        <f ca="1">SUM(I6:I11)</f>
        <v>#NAME?</v>
      </c>
      <c r="J12" s="37"/>
      <c r="K12" s="37"/>
      <c r="L12" s="37" t="e">
        <f ca="1">SUM(L6:L11)</f>
        <v>#NAME?</v>
      </c>
      <c r="M12" s="37" t="e">
        <f ca="1">SUM(M6:M11)</f>
        <v>#NAME?</v>
      </c>
      <c r="N12" s="37" t="e">
        <f ca="1">SUM(N6:N11)</f>
        <v>#NAME?</v>
      </c>
      <c r="O12" s="37" t="e">
        <f ca="1">SUMPRODUCT(O6:O11,I6:I11)/I12</f>
        <v>#NAME?</v>
      </c>
      <c r="T12" t="s">
        <v>43</v>
      </c>
      <c r="U12" s="34" t="e">
        <f ca="1">IF(U10&lt;U11,"yes","no")</f>
        <v>#NAME?</v>
      </c>
      <c r="AC12" t="s">
        <v>44</v>
      </c>
      <c r="AD12" s="35">
        <v>0.5</v>
      </c>
      <c r="AH12" s="30" t="e">
        <f ca="1"/>
        <v>#NAME?</v>
      </c>
      <c r="AI12" s="30" t="e">
        <f ca="1"/>
        <v>#NAME?</v>
      </c>
      <c r="AJ12" s="30" t="e">
        <f ca="1"/>
        <v>#NAME?</v>
      </c>
      <c r="AK12" s="30" t="e">
        <f t="shared" ca="1" si="7"/>
        <v>#NAME?</v>
      </c>
      <c r="AL12" s="30" t="e">
        <f t="shared" ca="1" si="7"/>
        <v>#NAME?</v>
      </c>
      <c r="AM12" s="30" t="e">
        <f t="shared" ca="1" si="8"/>
        <v>#NAME?</v>
      </c>
      <c r="AN12" s="30" t="e">
        <f t="shared" ca="1" si="8"/>
        <v>#NAME?</v>
      </c>
      <c r="AO12" s="30" t="e">
        <f t="shared" ca="1" si="9"/>
        <v>#NAME?</v>
      </c>
      <c r="AR12" s="44">
        <f t="shared" si="10"/>
        <v>7</v>
      </c>
      <c r="AS12" s="10">
        <v>20</v>
      </c>
      <c r="AT12">
        <v>1</v>
      </c>
      <c r="AU12" s="44">
        <v>0</v>
      </c>
      <c r="AW12" s="10">
        <f t="shared" si="11"/>
        <v>32</v>
      </c>
      <c r="AX12" s="10">
        <v>22</v>
      </c>
      <c r="AY12">
        <v>0</v>
      </c>
      <c r="AZ12" s="44">
        <v>1</v>
      </c>
    </row>
    <row r="13" spans="1:52" ht="15" thickBot="1" x14ac:dyDescent="0.4">
      <c r="A13" s="50">
        <v>20</v>
      </c>
      <c r="B13" s="50">
        <v>0</v>
      </c>
      <c r="C13" s="50">
        <v>1</v>
      </c>
      <c r="AO13" t="e">
        <f ca="1">SUM(AO6:AO12)</f>
        <v>#NAME?</v>
      </c>
      <c r="AR13" s="44">
        <f t="shared" si="10"/>
        <v>8</v>
      </c>
      <c r="AS13" s="10">
        <v>24</v>
      </c>
      <c r="AT13">
        <v>1</v>
      </c>
      <c r="AU13" s="44">
        <v>0</v>
      </c>
      <c r="AW13" s="10">
        <f t="shared" si="11"/>
        <v>33</v>
      </c>
      <c r="AX13" s="10">
        <v>20</v>
      </c>
      <c r="AY13">
        <v>1</v>
      </c>
      <c r="AZ13" s="44">
        <v>0</v>
      </c>
    </row>
    <row r="14" spans="1:52" ht="15" thickTop="1" x14ac:dyDescent="0.35">
      <c r="A14" s="50">
        <v>20</v>
      </c>
      <c r="B14" s="50">
        <v>0</v>
      </c>
      <c r="C14" s="50">
        <v>1</v>
      </c>
      <c r="E14" s="21"/>
      <c r="F14" s="21" t="s">
        <v>48</v>
      </c>
      <c r="G14" s="21" t="s">
        <v>49</v>
      </c>
      <c r="H14" s="21" t="s">
        <v>50</v>
      </c>
      <c r="I14" s="21" t="s">
        <v>40</v>
      </c>
      <c r="J14" s="21" t="s">
        <v>51</v>
      </c>
      <c r="K14" s="21" t="s">
        <v>52</v>
      </c>
      <c r="L14" s="21" t="s">
        <v>53</v>
      </c>
      <c r="T14" t="s">
        <v>45</v>
      </c>
      <c r="U14" s="14" t="e">
        <f ca="1">1-U6/U5</f>
        <v>#NAME?</v>
      </c>
      <c r="AR14" s="44">
        <f t="shared" si="10"/>
        <v>9</v>
      </c>
      <c r="AS14" s="10">
        <v>24</v>
      </c>
      <c r="AT14">
        <v>0</v>
      </c>
      <c r="AU14" s="44">
        <v>0</v>
      </c>
      <c r="AW14" s="10">
        <f t="shared" si="11"/>
        <v>34</v>
      </c>
      <c r="AX14" s="10">
        <v>24</v>
      </c>
      <c r="AY14">
        <v>1</v>
      </c>
      <c r="AZ14" s="44">
        <v>0</v>
      </c>
    </row>
    <row r="15" spans="1:52" x14ac:dyDescent="0.35">
      <c r="A15" s="50">
        <v>22</v>
      </c>
      <c r="B15" s="50">
        <v>1</v>
      </c>
      <c r="C15" s="50">
        <v>0</v>
      </c>
      <c r="E15" t="s">
        <v>54</v>
      </c>
      <c r="F15" t="e">
        <f t="array" ref="F15:F17" ca="1">R7:R9</f>
        <v>#NAME?</v>
      </c>
      <c r="G15" t="e">
        <f t="array" aca="1" ref="G15:G17" ca="1">SQRT(DIAG(W6:Y8))</f>
        <v>#NAME?</v>
      </c>
      <c r="H15" t="e">
        <f ca="1">(F15/G15)^2</f>
        <v>#NAME?</v>
      </c>
      <c r="I15" t="e">
        <f ca="1">CHIDIST(H15,1)</f>
        <v>#NAME?</v>
      </c>
      <c r="J15" t="e">
        <f ca="1">EXP(F15)</f>
        <v>#NAME?</v>
      </c>
      <c r="T15" t="s">
        <v>46</v>
      </c>
      <c r="U15" s="44" t="e">
        <f ca="1">1-EXP((-2/I12)*(U6-U5))</f>
        <v>#NAME?</v>
      </c>
      <c r="AR15" s="44">
        <f t="shared" si="10"/>
        <v>10</v>
      </c>
      <c r="AS15" s="10">
        <v>20</v>
      </c>
      <c r="AT15">
        <v>0</v>
      </c>
      <c r="AU15" s="44">
        <v>1</v>
      </c>
      <c r="AW15" s="10">
        <f t="shared" si="11"/>
        <v>35</v>
      </c>
      <c r="AX15" s="10">
        <v>24</v>
      </c>
      <c r="AY15">
        <v>0</v>
      </c>
      <c r="AZ15" s="44">
        <v>0</v>
      </c>
    </row>
    <row r="16" spans="1:52" x14ac:dyDescent="0.35">
      <c r="A16" s="50">
        <v>20</v>
      </c>
      <c r="B16" s="50">
        <v>1</v>
      </c>
      <c r="C16" s="50">
        <v>1</v>
      </c>
      <c r="E16" t="str">
        <f t="array" ref="E16:E17">TRANSPOSE(E5:F5)</f>
        <v>Temp</v>
      </c>
      <c r="F16" t="e">
        <f ca="1"/>
        <v>#NAME?</v>
      </c>
      <c r="G16" t="e">
        <f ca="1"/>
        <v>#NAME?</v>
      </c>
      <c r="H16" t="e">
        <f ca="1">(F16/G16)^2</f>
        <v>#NAME?</v>
      </c>
      <c r="I16" t="e">
        <f ca="1">CHIDIST(H16,1)</f>
        <v>#NAME?</v>
      </c>
      <c r="J16" t="e">
        <f ca="1">EXP(F16)</f>
        <v>#NAME?</v>
      </c>
      <c r="K16" t="e">
        <f ca="1">EXP(F16-G16*NORMSINV(1-$U$11/2))</f>
        <v>#NAME?</v>
      </c>
      <c r="L16" t="e">
        <f ca="1">EXP(F16+G16*NORMSINV(1-$U$11/2))</f>
        <v>#NAME?</v>
      </c>
      <c r="T16" t="s">
        <v>47</v>
      </c>
      <c r="U16" s="44" t="e">
        <f ca="1">U15/(1-EXP(2*U5/I12))</f>
        <v>#NAME?</v>
      </c>
      <c r="AR16" s="44">
        <f t="shared" si="10"/>
        <v>11</v>
      </c>
      <c r="AS16" s="10">
        <v>20</v>
      </c>
      <c r="AT16">
        <v>0</v>
      </c>
      <c r="AU16" s="44">
        <v>1</v>
      </c>
      <c r="AW16" s="10">
        <f t="shared" si="11"/>
        <v>36</v>
      </c>
      <c r="AX16" s="10">
        <v>22</v>
      </c>
      <c r="AY16">
        <v>1</v>
      </c>
      <c r="AZ16" s="44">
        <v>1</v>
      </c>
    </row>
    <row r="17" spans="1:52" x14ac:dyDescent="0.35">
      <c r="A17" s="50">
        <v>22</v>
      </c>
      <c r="B17" s="50">
        <v>0</v>
      </c>
      <c r="C17" s="50">
        <v>0</v>
      </c>
      <c r="E17" s="30" t="str">
        <v>Water</v>
      </c>
      <c r="F17" s="30" t="e">
        <f ca="1"/>
        <v>#NAME?</v>
      </c>
      <c r="G17" s="30" t="e">
        <f ca="1"/>
        <v>#NAME?</v>
      </c>
      <c r="H17" s="30" t="e">
        <f ca="1">(F17/G17)^2</f>
        <v>#NAME?</v>
      </c>
      <c r="I17" s="30" t="e">
        <f ca="1">CHIDIST(H17,1)</f>
        <v>#NAME?</v>
      </c>
      <c r="J17" s="30" t="e">
        <f ca="1">EXP(F17)</f>
        <v>#NAME?</v>
      </c>
      <c r="K17" s="30" t="e">
        <f ca="1">EXP(F17-G17*NORMSINV(1-$U$11/2))</f>
        <v>#NAME?</v>
      </c>
      <c r="L17" s="30" t="e">
        <f ca="1">EXP(F17+G17*NORMSINV(1-$U$11/2))</f>
        <v>#NAME?</v>
      </c>
      <c r="T17" t="s">
        <v>110</v>
      </c>
      <c r="U17" s="44" t="e">
        <f ca="1">-2*U6+2*(U9+1)</f>
        <v>#NAME?</v>
      </c>
      <c r="AR17" s="44">
        <f t="shared" si="10"/>
        <v>12</v>
      </c>
      <c r="AS17" s="10">
        <v>22</v>
      </c>
      <c r="AT17">
        <v>1</v>
      </c>
      <c r="AU17" s="44">
        <v>0</v>
      </c>
      <c r="AW17" s="10">
        <f t="shared" si="11"/>
        <v>37</v>
      </c>
      <c r="AX17" s="10">
        <v>20</v>
      </c>
      <c r="AY17">
        <v>0</v>
      </c>
      <c r="AZ17" s="44">
        <v>1</v>
      </c>
    </row>
    <row r="18" spans="1:52" x14ac:dyDescent="0.35">
      <c r="A18" s="50">
        <v>22</v>
      </c>
      <c r="B18" s="50">
        <v>0</v>
      </c>
      <c r="C18" s="50">
        <v>1</v>
      </c>
      <c r="T18" t="s">
        <v>111</v>
      </c>
      <c r="U18" s="15" t="e">
        <f ca="1">-2*U6+(U9+1)*LN(I16)</f>
        <v>#NAME?</v>
      </c>
      <c r="AR18" s="44">
        <f t="shared" si="10"/>
        <v>13</v>
      </c>
      <c r="AS18" s="10">
        <v>20</v>
      </c>
      <c r="AT18">
        <v>1</v>
      </c>
      <c r="AU18" s="44">
        <v>1</v>
      </c>
      <c r="AW18" s="10">
        <f t="shared" si="11"/>
        <v>38</v>
      </c>
      <c r="AX18" s="10">
        <v>22</v>
      </c>
      <c r="AY18">
        <v>0</v>
      </c>
      <c r="AZ18" s="44">
        <v>0</v>
      </c>
    </row>
    <row r="19" spans="1:52" x14ac:dyDescent="0.35">
      <c r="A19" s="50">
        <v>24</v>
      </c>
      <c r="B19" s="50">
        <v>1</v>
      </c>
      <c r="C19" s="50">
        <v>1</v>
      </c>
      <c r="AR19" s="44">
        <f t="shared" si="10"/>
        <v>14</v>
      </c>
      <c r="AS19" s="10">
        <v>22</v>
      </c>
      <c r="AT19">
        <v>0</v>
      </c>
      <c r="AU19" s="44">
        <v>0</v>
      </c>
      <c r="AW19" s="10">
        <f t="shared" si="11"/>
        <v>39</v>
      </c>
      <c r="AX19" s="10">
        <v>22</v>
      </c>
      <c r="AY19">
        <v>1</v>
      </c>
      <c r="AZ19" s="44">
        <v>0</v>
      </c>
    </row>
    <row r="20" spans="1:52" x14ac:dyDescent="0.35">
      <c r="A20" s="50">
        <v>24</v>
      </c>
      <c r="B20" s="50">
        <v>0</v>
      </c>
      <c r="C20" s="50">
        <v>0</v>
      </c>
      <c r="E20" t="s">
        <v>65</v>
      </c>
      <c r="AR20" s="44">
        <f t="shared" si="10"/>
        <v>15</v>
      </c>
      <c r="AS20" s="10">
        <v>22</v>
      </c>
      <c r="AT20">
        <v>0</v>
      </c>
      <c r="AU20" s="44">
        <v>1</v>
      </c>
      <c r="AW20" s="10">
        <f t="shared" si="11"/>
        <v>40</v>
      </c>
      <c r="AX20" s="10">
        <v>20</v>
      </c>
      <c r="AY20">
        <v>1</v>
      </c>
      <c r="AZ20" s="44">
        <v>1</v>
      </c>
    </row>
    <row r="21" spans="1:52" ht="15" thickBot="1" x14ac:dyDescent="0.4">
      <c r="A21" s="50">
        <v>22</v>
      </c>
      <c r="B21" s="50">
        <v>1</v>
      </c>
      <c r="C21" s="50">
        <v>0</v>
      </c>
      <c r="AR21" s="44">
        <f t="shared" si="10"/>
        <v>16</v>
      </c>
      <c r="AS21" s="10">
        <v>24</v>
      </c>
      <c r="AT21">
        <v>1</v>
      </c>
      <c r="AU21" s="44">
        <v>1</v>
      </c>
      <c r="AW21" s="10">
        <f t="shared" si="11"/>
        <v>41</v>
      </c>
      <c r="AX21" s="10">
        <v>20</v>
      </c>
      <c r="AY21">
        <v>1</v>
      </c>
      <c r="AZ21" s="44">
        <v>0</v>
      </c>
    </row>
    <row r="22" spans="1:52" ht="15" thickTop="1" x14ac:dyDescent="0.35">
      <c r="A22" s="50">
        <v>24</v>
      </c>
      <c r="B22" s="50">
        <v>1</v>
      </c>
      <c r="C22" s="50">
        <v>0</v>
      </c>
      <c r="E22" s="21" t="s">
        <v>69</v>
      </c>
      <c r="F22" s="21" t="s">
        <v>70</v>
      </c>
      <c r="G22" s="21" t="s">
        <v>71</v>
      </c>
      <c r="H22" s="21" t="s">
        <v>74</v>
      </c>
      <c r="I22" s="21" t="s">
        <v>20</v>
      </c>
      <c r="J22" s="21" t="s">
        <v>21</v>
      </c>
      <c r="K22" s="21" t="s">
        <v>22</v>
      </c>
      <c r="AR22" s="44">
        <f t="shared" si="10"/>
        <v>17</v>
      </c>
      <c r="AS22" s="10">
        <v>24</v>
      </c>
      <c r="AT22">
        <v>0</v>
      </c>
      <c r="AU22" s="44">
        <v>0</v>
      </c>
      <c r="AW22" s="10">
        <f t="shared" si="11"/>
        <v>42</v>
      </c>
      <c r="AX22" s="10">
        <v>22</v>
      </c>
      <c r="AY22">
        <v>1</v>
      </c>
      <c r="AZ22" s="44">
        <v>1</v>
      </c>
    </row>
    <row r="23" spans="1:52" x14ac:dyDescent="0.35">
      <c r="A23" s="50">
        <v>20</v>
      </c>
      <c r="B23" s="50">
        <v>0</v>
      </c>
      <c r="C23" s="50">
        <v>0</v>
      </c>
      <c r="E23">
        <v>22</v>
      </c>
      <c r="F23">
        <v>0</v>
      </c>
      <c r="K23" t="e">
        <f ca="1">1/(1+EXP(-$R$7-MMULT(E23:F23,$R$8:$R$9)))</f>
        <v>#NAME?</v>
      </c>
      <c r="AR23" s="44">
        <f t="shared" si="10"/>
        <v>18</v>
      </c>
      <c r="AS23" s="10">
        <v>22</v>
      </c>
      <c r="AT23">
        <v>1</v>
      </c>
      <c r="AU23" s="44">
        <v>0</v>
      </c>
      <c r="AW23" s="10">
        <f t="shared" si="11"/>
        <v>43</v>
      </c>
      <c r="AX23" s="10">
        <v>24</v>
      </c>
      <c r="AY23">
        <v>0</v>
      </c>
      <c r="AZ23" s="44">
        <v>1</v>
      </c>
    </row>
    <row r="24" spans="1:52" x14ac:dyDescent="0.35">
      <c r="A24" s="50">
        <v>20</v>
      </c>
      <c r="B24" s="50">
        <v>1</v>
      </c>
      <c r="C24" s="50">
        <v>0</v>
      </c>
      <c r="E24" s="30">
        <v>22</v>
      </c>
      <c r="F24" s="30">
        <v>1</v>
      </c>
      <c r="G24" s="30"/>
      <c r="H24" s="30"/>
      <c r="I24" s="30"/>
      <c r="J24" s="30"/>
      <c r="K24" s="30" t="e">
        <f ca="1">1/(1+EXP(-$R$7-MMULT(E24:F24,$R$8:$R$9)))</f>
        <v>#NAME?</v>
      </c>
      <c r="AR24" s="44">
        <f t="shared" si="10"/>
        <v>19</v>
      </c>
      <c r="AS24" s="10">
        <v>24</v>
      </c>
      <c r="AT24">
        <v>1</v>
      </c>
      <c r="AU24" s="44">
        <v>0</v>
      </c>
      <c r="AW24" s="10">
        <f t="shared" si="11"/>
        <v>44</v>
      </c>
      <c r="AX24" s="10">
        <v>20</v>
      </c>
      <c r="AY24">
        <v>1</v>
      </c>
      <c r="AZ24" s="44">
        <v>1</v>
      </c>
    </row>
    <row r="25" spans="1:52" x14ac:dyDescent="0.35">
      <c r="A25" s="50">
        <v>20</v>
      </c>
      <c r="B25" s="50">
        <v>0</v>
      </c>
      <c r="C25" s="50">
        <v>1</v>
      </c>
      <c r="AR25" s="44">
        <f t="shared" si="10"/>
        <v>20</v>
      </c>
      <c r="AS25" s="10">
        <v>20</v>
      </c>
      <c r="AT25">
        <v>0</v>
      </c>
      <c r="AU25" s="44">
        <v>0</v>
      </c>
      <c r="AW25" s="10">
        <f t="shared" si="11"/>
        <v>45</v>
      </c>
      <c r="AX25" s="10">
        <v>20</v>
      </c>
      <c r="AY25">
        <v>0</v>
      </c>
      <c r="AZ25" s="44">
        <v>1</v>
      </c>
    </row>
    <row r="26" spans="1:52" x14ac:dyDescent="0.35">
      <c r="A26" s="50">
        <v>20</v>
      </c>
      <c r="B26" s="50">
        <v>1</v>
      </c>
      <c r="C26" s="50">
        <v>1</v>
      </c>
      <c r="E26" t="s">
        <v>65</v>
      </c>
      <c r="AR26" s="44">
        <f t="shared" si="10"/>
        <v>21</v>
      </c>
      <c r="AS26" s="10">
        <v>20</v>
      </c>
      <c r="AT26">
        <v>1</v>
      </c>
      <c r="AU26" s="44">
        <v>0</v>
      </c>
      <c r="AW26" s="10">
        <f t="shared" si="11"/>
        <v>46</v>
      </c>
      <c r="AX26" s="10">
        <v>24</v>
      </c>
      <c r="AY26">
        <v>1</v>
      </c>
      <c r="AZ26" s="44">
        <v>0</v>
      </c>
    </row>
    <row r="27" spans="1:52" ht="15" thickBot="1" x14ac:dyDescent="0.4">
      <c r="A27" s="50">
        <v>20</v>
      </c>
      <c r="B27" s="50">
        <v>1</v>
      </c>
      <c r="C27" s="50">
        <v>1</v>
      </c>
      <c r="AR27" s="44">
        <f t="shared" si="10"/>
        <v>22</v>
      </c>
      <c r="AS27" s="10">
        <v>20</v>
      </c>
      <c r="AT27">
        <v>0</v>
      </c>
      <c r="AU27" s="44">
        <v>1</v>
      </c>
      <c r="AW27" s="10">
        <f t="shared" si="11"/>
        <v>47</v>
      </c>
      <c r="AX27" s="10">
        <v>24</v>
      </c>
      <c r="AY27">
        <v>1</v>
      </c>
      <c r="AZ27" s="44">
        <v>0</v>
      </c>
    </row>
    <row r="28" spans="1:52" ht="15" thickTop="1" x14ac:dyDescent="0.35">
      <c r="A28" s="50">
        <v>20</v>
      </c>
      <c r="B28" s="50">
        <v>0</v>
      </c>
      <c r="C28" s="50">
        <v>1</v>
      </c>
      <c r="E28" s="21" t="s">
        <v>69</v>
      </c>
      <c r="F28" s="21" t="s">
        <v>70</v>
      </c>
      <c r="G28" s="21" t="s">
        <v>22</v>
      </c>
      <c r="AR28" s="44">
        <f t="shared" si="10"/>
        <v>23</v>
      </c>
      <c r="AS28" s="10">
        <v>20</v>
      </c>
      <c r="AT28">
        <v>1</v>
      </c>
      <c r="AU28" s="44">
        <v>1</v>
      </c>
      <c r="AW28" s="10">
        <f t="shared" si="11"/>
        <v>48</v>
      </c>
      <c r="AX28" s="10">
        <v>22</v>
      </c>
      <c r="AY28">
        <v>0</v>
      </c>
      <c r="AZ28" s="44">
        <v>1</v>
      </c>
    </row>
    <row r="29" spans="1:52" x14ac:dyDescent="0.35">
      <c r="A29" s="50">
        <v>24</v>
      </c>
      <c r="B29" s="50">
        <v>0</v>
      </c>
      <c r="C29" s="50">
        <v>0</v>
      </c>
      <c r="E29">
        <v>23</v>
      </c>
      <c r="F29">
        <v>0</v>
      </c>
      <c r="G29" t="e">
        <f>1/(1+EXP(-$P$7-MMULT(A29:B29,$P$8:$P$9)))</f>
        <v>#VALUE!</v>
      </c>
      <c r="AR29" s="44">
        <f t="shared" si="10"/>
        <v>24</v>
      </c>
      <c r="AS29" s="10">
        <v>20</v>
      </c>
      <c r="AT29">
        <v>1</v>
      </c>
      <c r="AU29" s="44">
        <v>1</v>
      </c>
      <c r="AW29" s="16">
        <f t="shared" si="11"/>
        <v>49</v>
      </c>
      <c r="AX29" s="16">
        <v>24</v>
      </c>
      <c r="AY29" s="30">
        <v>1</v>
      </c>
      <c r="AZ29" s="15">
        <v>0</v>
      </c>
    </row>
    <row r="30" spans="1:52" x14ac:dyDescent="0.35">
      <c r="A30" s="50">
        <v>22</v>
      </c>
      <c r="B30" s="50">
        <v>0</v>
      </c>
      <c r="C30" s="50">
        <v>1</v>
      </c>
      <c r="E30" s="30">
        <v>23</v>
      </c>
      <c r="F30" s="30">
        <v>1</v>
      </c>
      <c r="G30" s="30" t="e">
        <f>1/(1+EXP(-$P$7-MMULT(E30:F30,$P$8:$P$9)))</f>
        <v>#VALUE!</v>
      </c>
      <c r="AR30" s="15">
        <f t="shared" si="10"/>
        <v>25</v>
      </c>
      <c r="AS30" s="16">
        <v>20</v>
      </c>
      <c r="AT30" s="30">
        <v>0</v>
      </c>
      <c r="AU30" s="15">
        <v>1</v>
      </c>
    </row>
    <row r="31" spans="1:52" x14ac:dyDescent="0.35">
      <c r="A31" s="50">
        <v>24</v>
      </c>
      <c r="B31" s="50">
        <v>1</v>
      </c>
      <c r="C31" s="50">
        <v>1</v>
      </c>
    </row>
    <row r="32" spans="1:52" x14ac:dyDescent="0.35">
      <c r="A32" s="50">
        <v>24</v>
      </c>
      <c r="B32" s="50">
        <v>0</v>
      </c>
      <c r="C32" s="50">
        <v>1</v>
      </c>
      <c r="E32" t="s">
        <v>64</v>
      </c>
    </row>
    <row r="33" spans="1:16" x14ac:dyDescent="0.35">
      <c r="A33" s="50">
        <v>22</v>
      </c>
      <c r="B33" s="50">
        <v>1</v>
      </c>
      <c r="C33" s="50">
        <v>1</v>
      </c>
    </row>
    <row r="34" spans="1:16" x14ac:dyDescent="0.35">
      <c r="A34" s="50">
        <v>22</v>
      </c>
      <c r="B34" s="50">
        <v>0</v>
      </c>
      <c r="C34" s="50">
        <v>0</v>
      </c>
      <c r="E34" s="46" t="s">
        <v>75</v>
      </c>
      <c r="N34" s="46" t="s">
        <v>76</v>
      </c>
    </row>
    <row r="35" spans="1:16" x14ac:dyDescent="0.35">
      <c r="A35" s="50">
        <v>22</v>
      </c>
      <c r="B35" s="50">
        <v>0</v>
      </c>
      <c r="C35" s="50">
        <v>1</v>
      </c>
    </row>
    <row r="36" spans="1:16" x14ac:dyDescent="0.35">
      <c r="A36" s="50">
        <v>20</v>
      </c>
      <c r="B36" s="50">
        <v>1</v>
      </c>
      <c r="C36" s="50">
        <v>0</v>
      </c>
      <c r="E36" t="e">
        <f t="array" aca="1" ref="E36:L39" ca="1">LogitCoeff(A3:C52,TRUE,TRUE,TRUE)</f>
        <v>#NAME?</v>
      </c>
      <c r="F36" t="e">
        <f ca="1"/>
        <v>#NAME?</v>
      </c>
      <c r="G36" t="e">
        <f ca="1"/>
        <v>#NAME?</v>
      </c>
      <c r="H36" t="e">
        <f ca="1"/>
        <v>#NAME?</v>
      </c>
      <c r="I36" t="e">
        <f ca="1"/>
        <v>#NAME?</v>
      </c>
      <c r="J36" t="e">
        <f ca="1"/>
        <v>#NAME?</v>
      </c>
      <c r="K36" t="e">
        <f ca="1"/>
        <v>#NAME?</v>
      </c>
      <c r="L36" t="e">
        <f ca="1"/>
        <v>#NAME?</v>
      </c>
      <c r="N36" t="s">
        <v>69</v>
      </c>
      <c r="O36" t="s">
        <v>70</v>
      </c>
      <c r="P36" t="s">
        <v>22</v>
      </c>
    </row>
    <row r="37" spans="1:16" x14ac:dyDescent="0.35">
      <c r="A37" s="50">
        <v>24</v>
      </c>
      <c r="B37" s="50">
        <v>1</v>
      </c>
      <c r="C37" s="50">
        <v>0</v>
      </c>
      <c r="E37" t="e">
        <f ca="1"/>
        <v>#NAME?</v>
      </c>
      <c r="F37" s="42" t="e">
        <f ca="1"/>
        <v>#NAME?</v>
      </c>
      <c r="G37" s="37" t="e">
        <f ca="1"/>
        <v>#NAME?</v>
      </c>
      <c r="H37" s="37" t="e">
        <f ca="1"/>
        <v>#NAME?</v>
      </c>
      <c r="I37" s="37" t="e">
        <f ca="1"/>
        <v>#NAME?</v>
      </c>
      <c r="J37" s="37" t="e">
        <f ca="1"/>
        <v>#NAME?</v>
      </c>
      <c r="K37" s="37" t="e">
        <f ca="1"/>
        <v>#NAME?</v>
      </c>
      <c r="L37" s="43" t="e">
        <f ca="1"/>
        <v>#NAME?</v>
      </c>
      <c r="N37" s="42">
        <v>22</v>
      </c>
      <c r="O37" s="37">
        <v>0</v>
      </c>
      <c r="P37" s="43" t="e">
        <f ca="1">LogitPred(N37:O37,$A$4:$C$52,TRUE)</f>
        <v>#NAME?</v>
      </c>
    </row>
    <row r="38" spans="1:16" x14ac:dyDescent="0.35">
      <c r="A38" s="50">
        <v>24</v>
      </c>
      <c r="B38" s="50">
        <v>0</v>
      </c>
      <c r="C38" s="50">
        <v>0</v>
      </c>
      <c r="E38" t="e">
        <f ca="1"/>
        <v>#NAME?</v>
      </c>
      <c r="F38" s="10" t="e">
        <f ca="1"/>
        <v>#NAME?</v>
      </c>
      <c r="G38" t="e">
        <f ca="1"/>
        <v>#NAME?</v>
      </c>
      <c r="H38" t="e">
        <f ca="1"/>
        <v>#NAME?</v>
      </c>
      <c r="I38" t="e">
        <f ca="1"/>
        <v>#NAME?</v>
      </c>
      <c r="J38" t="e">
        <f ca="1"/>
        <v>#NAME?</v>
      </c>
      <c r="K38" t="e">
        <f ca="1"/>
        <v>#NAME?</v>
      </c>
      <c r="L38" s="11" t="e">
        <f ca="1"/>
        <v>#NAME?</v>
      </c>
      <c r="N38" s="16">
        <v>23</v>
      </c>
      <c r="O38" s="30">
        <v>1</v>
      </c>
      <c r="P38" s="17" t="e">
        <f ca="1">LogitPred(N38:O38,$A$4:$C$52,TRUE)</f>
        <v>#NAME?</v>
      </c>
    </row>
    <row r="39" spans="1:16" x14ac:dyDescent="0.35">
      <c r="A39" s="50">
        <v>22</v>
      </c>
      <c r="B39" s="50">
        <v>1</v>
      </c>
      <c r="C39" s="50">
        <v>1</v>
      </c>
      <c r="E39" t="e">
        <f ca="1"/>
        <v>#NAME?</v>
      </c>
      <c r="F39" s="16" t="e">
        <f ca="1"/>
        <v>#NAME?</v>
      </c>
      <c r="G39" s="30" t="e">
        <f ca="1"/>
        <v>#NAME?</v>
      </c>
      <c r="H39" s="30" t="e">
        <f ca="1"/>
        <v>#NAME?</v>
      </c>
      <c r="I39" s="30" t="e">
        <f ca="1"/>
        <v>#NAME?</v>
      </c>
      <c r="J39" s="30" t="e">
        <f ca="1"/>
        <v>#NAME?</v>
      </c>
      <c r="K39" s="30" t="e">
        <f ca="1"/>
        <v>#NAME?</v>
      </c>
      <c r="L39" s="17" t="e">
        <f ca="1"/>
        <v>#NAME?</v>
      </c>
    </row>
    <row r="40" spans="1:16" x14ac:dyDescent="0.35">
      <c r="A40" s="50">
        <v>20</v>
      </c>
      <c r="B40" s="50">
        <v>0</v>
      </c>
      <c r="C40" s="50">
        <v>1</v>
      </c>
      <c r="N40" s="46" t="s">
        <v>77</v>
      </c>
    </row>
    <row r="41" spans="1:16" x14ac:dyDescent="0.35">
      <c r="A41" s="50">
        <v>22</v>
      </c>
      <c r="B41" s="50">
        <v>0</v>
      </c>
      <c r="C41" s="50">
        <v>0</v>
      </c>
      <c r="E41" s="46" t="s">
        <v>78</v>
      </c>
      <c r="I41" s="46" t="s">
        <v>79</v>
      </c>
    </row>
    <row r="42" spans="1:16" x14ac:dyDescent="0.35">
      <c r="A42" s="50">
        <v>22</v>
      </c>
      <c r="B42" s="50">
        <v>1</v>
      </c>
      <c r="C42" s="50">
        <v>0</v>
      </c>
      <c r="N42" t="s">
        <v>69</v>
      </c>
      <c r="O42" t="s">
        <v>70</v>
      </c>
      <c r="P42" t="s">
        <v>22</v>
      </c>
    </row>
    <row r="43" spans="1:16" x14ac:dyDescent="0.35">
      <c r="A43" s="50">
        <v>20</v>
      </c>
      <c r="B43" s="50">
        <v>1</v>
      </c>
      <c r="C43" s="50">
        <v>1</v>
      </c>
      <c r="E43" t="e">
        <f t="array" aca="1" ref="E43:F47" ca="1">LogitTest(A4:C52,TRUE,TRUE)</f>
        <v>#NAME?</v>
      </c>
      <c r="F43" s="14" t="e">
        <f ca="1"/>
        <v>#NAME?</v>
      </c>
      <c r="I43" s="2" t="s">
        <v>69</v>
      </c>
      <c r="J43" s="2" t="s">
        <v>70</v>
      </c>
      <c r="K43" s="2" t="s">
        <v>71</v>
      </c>
      <c r="L43" s="2" t="s">
        <v>74</v>
      </c>
      <c r="N43" s="42">
        <v>22</v>
      </c>
      <c r="O43" s="37">
        <v>0</v>
      </c>
      <c r="P43" s="43" t="e">
        <f ca="1">LogitPredC(N43:O43,$F$37:$F$39)</f>
        <v>#NAME?</v>
      </c>
    </row>
    <row r="44" spans="1:16" x14ac:dyDescent="0.35">
      <c r="A44" s="50">
        <v>20</v>
      </c>
      <c r="B44" s="50">
        <v>1</v>
      </c>
      <c r="C44" s="50">
        <v>0</v>
      </c>
      <c r="E44" t="e">
        <f ca="1"/>
        <v>#NAME?</v>
      </c>
      <c r="F44" s="44" t="e">
        <f ca="1"/>
        <v>#NAME?</v>
      </c>
      <c r="I44" s="42" t="e">
        <f t="array" aca="1" ref="I44:L49" ca="1">LogitSummary(A4:C52)</f>
        <v>#NAME?</v>
      </c>
      <c r="J44" s="37" t="e">
        <f ca="1"/>
        <v>#NAME?</v>
      </c>
      <c r="K44" s="37" t="e">
        <f ca="1"/>
        <v>#NAME?</v>
      </c>
      <c r="L44" s="43" t="e">
        <f ca="1"/>
        <v>#NAME?</v>
      </c>
      <c r="N44" s="16">
        <v>23</v>
      </c>
      <c r="O44" s="30">
        <v>1</v>
      </c>
      <c r="P44" s="17" t="e">
        <f ca="1">LogitPredC(N44:O44,$F$37:$F$39)</f>
        <v>#NAME?</v>
      </c>
    </row>
    <row r="45" spans="1:16" x14ac:dyDescent="0.35">
      <c r="A45" s="50">
        <v>22</v>
      </c>
      <c r="B45" s="50">
        <v>1</v>
      </c>
      <c r="C45" s="50">
        <v>1</v>
      </c>
      <c r="E45" t="e">
        <f ca="1"/>
        <v>#NAME?</v>
      </c>
      <c r="F45" s="44" t="e">
        <f ca="1"/>
        <v>#NAME?</v>
      </c>
      <c r="I45" s="10" t="e">
        <f ca="1"/>
        <v>#NAME?</v>
      </c>
      <c r="J45" t="e">
        <f ca="1"/>
        <v>#NAME?</v>
      </c>
      <c r="K45" t="e">
        <f ca="1"/>
        <v>#NAME?</v>
      </c>
      <c r="L45" s="11" t="e">
        <f ca="1"/>
        <v>#NAME?</v>
      </c>
    </row>
    <row r="46" spans="1:16" x14ac:dyDescent="0.35">
      <c r="A46" s="50">
        <v>24</v>
      </c>
      <c r="B46" s="50">
        <v>0</v>
      </c>
      <c r="C46" s="50">
        <v>1</v>
      </c>
      <c r="E46" t="e">
        <f ca="1"/>
        <v>#NAME?</v>
      </c>
      <c r="F46" s="44" t="e">
        <f ca="1"/>
        <v>#NAME?</v>
      </c>
      <c r="I46" s="10" t="e">
        <f ca="1"/>
        <v>#NAME?</v>
      </c>
      <c r="J46" t="e">
        <f ca="1"/>
        <v>#NAME?</v>
      </c>
      <c r="K46" t="e">
        <f ca="1"/>
        <v>#NAME?</v>
      </c>
      <c r="L46" s="11" t="e">
        <f ca="1"/>
        <v>#NAME?</v>
      </c>
      <c r="N46" s="46" t="s">
        <v>80</v>
      </c>
    </row>
    <row r="47" spans="1:16" x14ac:dyDescent="0.35">
      <c r="A47" s="50">
        <v>20</v>
      </c>
      <c r="B47" s="50">
        <v>1</v>
      </c>
      <c r="C47" s="50">
        <v>1</v>
      </c>
      <c r="E47" t="e">
        <f ca="1"/>
        <v>#NAME?</v>
      </c>
      <c r="F47" s="15" t="e">
        <f ca="1"/>
        <v>#NAME?</v>
      </c>
      <c r="I47" s="10" t="e">
        <f ca="1"/>
        <v>#NAME?</v>
      </c>
      <c r="J47" t="e">
        <f ca="1"/>
        <v>#NAME?</v>
      </c>
      <c r="K47" t="e">
        <f ca="1"/>
        <v>#NAME?</v>
      </c>
      <c r="L47" s="11" t="e">
        <f ca="1"/>
        <v>#NAME?</v>
      </c>
    </row>
    <row r="48" spans="1:16" x14ac:dyDescent="0.35">
      <c r="A48" s="50">
        <v>20</v>
      </c>
      <c r="B48" s="50">
        <v>0</v>
      </c>
      <c r="C48" s="50">
        <v>1</v>
      </c>
      <c r="I48" s="10" t="e">
        <f ca="1"/>
        <v>#NAME?</v>
      </c>
      <c r="J48" t="e">
        <f ca="1"/>
        <v>#NAME?</v>
      </c>
      <c r="K48" t="e">
        <f ca="1"/>
        <v>#NAME?</v>
      </c>
      <c r="L48" s="11" t="e">
        <f ca="1"/>
        <v>#NAME?</v>
      </c>
      <c r="N48" t="s">
        <v>69</v>
      </c>
      <c r="O48" t="s">
        <v>70</v>
      </c>
      <c r="P48" t="s">
        <v>22</v>
      </c>
    </row>
    <row r="49" spans="1:16" x14ac:dyDescent="0.35">
      <c r="A49" s="50">
        <v>24</v>
      </c>
      <c r="B49" s="50">
        <v>1</v>
      </c>
      <c r="C49" s="50">
        <v>0</v>
      </c>
      <c r="I49" s="16" t="e">
        <f ca="1"/>
        <v>#NAME?</v>
      </c>
      <c r="J49" s="30" t="e">
        <f ca="1"/>
        <v>#NAME?</v>
      </c>
      <c r="K49" s="30" t="e">
        <f ca="1"/>
        <v>#NAME?</v>
      </c>
      <c r="L49" s="17" t="e">
        <f ca="1"/>
        <v>#NAME?</v>
      </c>
      <c r="N49" s="42">
        <v>22</v>
      </c>
      <c r="O49" s="37">
        <v>0</v>
      </c>
      <c r="P49" s="43" t="e">
        <f ca="1">LogitPred(N49:O49,$E$6:$H$11)</f>
        <v>#NAME?</v>
      </c>
    </row>
    <row r="50" spans="1:16" x14ac:dyDescent="0.35">
      <c r="A50" s="50">
        <v>24</v>
      </c>
      <c r="B50" s="50">
        <v>1</v>
      </c>
      <c r="C50" s="50">
        <v>0</v>
      </c>
      <c r="N50" s="16">
        <v>23</v>
      </c>
      <c r="O50" s="30">
        <v>1</v>
      </c>
      <c r="P50" s="17" t="e">
        <f ca="1">LogitPred(N50:O50,$E$6:$H$11)</f>
        <v>#NAME?</v>
      </c>
    </row>
    <row r="51" spans="1:16" x14ac:dyDescent="0.35">
      <c r="A51" s="50">
        <v>22</v>
      </c>
      <c r="B51" s="50">
        <v>0</v>
      </c>
      <c r="C51" s="50">
        <v>1</v>
      </c>
    </row>
    <row r="52" spans="1:16" x14ac:dyDescent="0.35">
      <c r="A52" s="30">
        <v>24</v>
      </c>
      <c r="B52" s="30">
        <v>1</v>
      </c>
      <c r="C52" s="30">
        <v>0</v>
      </c>
      <c r="I52" s="46" t="s">
        <v>81</v>
      </c>
    </row>
    <row r="54" spans="1:16" x14ac:dyDescent="0.35">
      <c r="I54" t="e">
        <f t="array" aca="1" ref="I54:L60" ca="1">LogitSummary(A3:C52,TRUE)</f>
        <v>#NAME?</v>
      </c>
      <c r="J54" t="e">
        <f ca="1"/>
        <v>#NAME?</v>
      </c>
      <c r="K54" t="e">
        <f ca="1"/>
        <v>#NAME?</v>
      </c>
      <c r="L54" t="e">
        <f ca="1"/>
        <v>#NAME?</v>
      </c>
    </row>
    <row r="55" spans="1:16" x14ac:dyDescent="0.35">
      <c r="I55" s="42" t="e">
        <f ca="1"/>
        <v>#NAME?</v>
      </c>
      <c r="J55" s="37" t="e">
        <f ca="1"/>
        <v>#NAME?</v>
      </c>
      <c r="K55" s="37" t="e">
        <f ca="1"/>
        <v>#NAME?</v>
      </c>
      <c r="L55" s="43" t="e">
        <f ca="1"/>
        <v>#NAME?</v>
      </c>
    </row>
    <row r="56" spans="1:16" x14ac:dyDescent="0.35">
      <c r="I56" s="10" t="e">
        <f ca="1"/>
        <v>#NAME?</v>
      </c>
      <c r="J56" t="e">
        <f ca="1"/>
        <v>#NAME?</v>
      </c>
      <c r="K56" t="e">
        <f ca="1"/>
        <v>#NAME?</v>
      </c>
      <c r="L56" s="11" t="e">
        <f ca="1"/>
        <v>#NAME?</v>
      </c>
    </row>
    <row r="57" spans="1:16" x14ac:dyDescent="0.35">
      <c r="I57" s="10" t="e">
        <f ca="1"/>
        <v>#NAME?</v>
      </c>
      <c r="J57" t="e">
        <f ca="1"/>
        <v>#NAME?</v>
      </c>
      <c r="K57" t="e">
        <f ca="1"/>
        <v>#NAME?</v>
      </c>
      <c r="L57" s="11" t="e">
        <f ca="1"/>
        <v>#NAME?</v>
      </c>
    </row>
    <row r="58" spans="1:16" x14ac:dyDescent="0.35">
      <c r="I58" s="10" t="e">
        <f ca="1"/>
        <v>#NAME?</v>
      </c>
      <c r="J58" t="e">
        <f ca="1"/>
        <v>#NAME?</v>
      </c>
      <c r="K58" t="e">
        <f ca="1"/>
        <v>#NAME?</v>
      </c>
      <c r="L58" s="11" t="e">
        <f ca="1"/>
        <v>#NAME?</v>
      </c>
    </row>
    <row r="59" spans="1:16" x14ac:dyDescent="0.35">
      <c r="I59" s="10" t="e">
        <f ca="1"/>
        <v>#NAME?</v>
      </c>
      <c r="J59" t="e">
        <f ca="1"/>
        <v>#NAME?</v>
      </c>
      <c r="K59" t="e">
        <f ca="1"/>
        <v>#NAME?</v>
      </c>
      <c r="L59" s="11" t="e">
        <f ca="1"/>
        <v>#NAME?</v>
      </c>
    </row>
    <row r="60" spans="1:16" x14ac:dyDescent="0.35">
      <c r="I60" s="16" t="e">
        <f ca="1"/>
        <v>#NAME?</v>
      </c>
      <c r="J60" s="30" t="e">
        <f ca="1"/>
        <v>#NAME?</v>
      </c>
      <c r="K60" s="30" t="e">
        <f ca="1"/>
        <v>#NAME?</v>
      </c>
      <c r="L60" s="17" t="e">
        <f ca="1"/>
        <v>#NAME?</v>
      </c>
    </row>
    <row r="62" spans="1:16" x14ac:dyDescent="0.35">
      <c r="E62" s="46" t="s">
        <v>82</v>
      </c>
    </row>
    <row r="64" spans="1:16" x14ac:dyDescent="0.35">
      <c r="E64" t="e">
        <f t="array" aca="1" ref="E64:L67" ca="1">LogitCoeff(A4:C52,TRUE,TRUE)</f>
        <v>#NAME?</v>
      </c>
      <c r="F64" t="e">
        <f ca="1"/>
        <v>#NAME?</v>
      </c>
      <c r="G64" t="e">
        <f ca="1"/>
        <v>#NAME?</v>
      </c>
      <c r="H64" t="e">
        <f ca="1"/>
        <v>#NAME?</v>
      </c>
      <c r="I64" t="e">
        <f ca="1"/>
        <v>#NAME?</v>
      </c>
      <c r="J64" t="e">
        <f ca="1"/>
        <v>#NAME?</v>
      </c>
      <c r="K64" t="e">
        <f ca="1"/>
        <v>#NAME?</v>
      </c>
      <c r="L64" t="e">
        <f ca="1"/>
        <v>#NAME?</v>
      </c>
    </row>
    <row r="65" spans="5:12" x14ac:dyDescent="0.35">
      <c r="E65" t="e">
        <f ca="1"/>
        <v>#NAME?</v>
      </c>
      <c r="F65" s="42" t="e">
        <f ca="1"/>
        <v>#NAME?</v>
      </c>
      <c r="G65" s="37" t="e">
        <f ca="1"/>
        <v>#NAME?</v>
      </c>
      <c r="H65" s="37" t="e">
        <f ca="1"/>
        <v>#NAME?</v>
      </c>
      <c r="I65" s="37" t="e">
        <f ca="1"/>
        <v>#NAME?</v>
      </c>
      <c r="J65" s="37" t="e">
        <f ca="1"/>
        <v>#NAME?</v>
      </c>
      <c r="K65" s="37" t="e">
        <f ca="1"/>
        <v>#NAME?</v>
      </c>
      <c r="L65" s="43" t="e">
        <f ca="1"/>
        <v>#NAME?</v>
      </c>
    </row>
    <row r="66" spans="5:12" x14ac:dyDescent="0.35">
      <c r="E66" t="e">
        <f ca="1"/>
        <v>#NAME?</v>
      </c>
      <c r="F66" s="10" t="e">
        <f ca="1"/>
        <v>#NAME?</v>
      </c>
      <c r="G66" t="e">
        <f ca="1"/>
        <v>#NAME?</v>
      </c>
      <c r="H66" t="e">
        <f ca="1"/>
        <v>#NAME?</v>
      </c>
      <c r="I66" t="e">
        <f ca="1"/>
        <v>#NAME?</v>
      </c>
      <c r="J66" t="e">
        <f ca="1"/>
        <v>#NAME?</v>
      </c>
      <c r="K66" t="e">
        <f ca="1"/>
        <v>#NAME?</v>
      </c>
      <c r="L66" s="11" t="e">
        <f ca="1"/>
        <v>#NAME?</v>
      </c>
    </row>
    <row r="67" spans="5:12" x14ac:dyDescent="0.35">
      <c r="E67" t="e">
        <f ca="1"/>
        <v>#NAME?</v>
      </c>
      <c r="F67" s="16" t="e">
        <f ca="1"/>
        <v>#NAME?</v>
      </c>
      <c r="G67" s="30" t="e">
        <f ca="1"/>
        <v>#NAME?</v>
      </c>
      <c r="H67" s="30" t="e">
        <f ca="1"/>
        <v>#NAME?</v>
      </c>
      <c r="I67" s="30" t="e">
        <f ca="1"/>
        <v>#NAME?</v>
      </c>
      <c r="J67" s="30" t="e">
        <f ca="1"/>
        <v>#NAME?</v>
      </c>
      <c r="K67" s="30" t="e">
        <f ca="1"/>
        <v>#NAME?</v>
      </c>
      <c r="L67" s="17" t="e">
        <f ca="1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4B41-9042-4283-BABA-04FEAE1B7253}">
  <sheetPr codeName="Sheet325"/>
  <dimension ref="A1:J52"/>
  <sheetViews>
    <sheetView workbookViewId="0"/>
  </sheetViews>
  <sheetFormatPr defaultRowHeight="14.5" x14ac:dyDescent="0.35"/>
  <cols>
    <col min="9" max="9" width="4.08984375" customWidth="1"/>
    <col min="10" max="10" width="25.26953125" customWidth="1"/>
  </cols>
  <sheetData>
    <row r="1" spans="1:10" x14ac:dyDescent="0.35">
      <c r="A1" s="1" t="s">
        <v>83</v>
      </c>
    </row>
    <row r="3" spans="1:10" x14ac:dyDescent="0.35">
      <c r="A3" s="51" t="s">
        <v>69</v>
      </c>
      <c r="B3" s="51" t="s">
        <v>70</v>
      </c>
      <c r="C3" s="51" t="s">
        <v>71</v>
      </c>
      <c r="E3" s="2" t="s">
        <v>69</v>
      </c>
      <c r="F3" s="2" t="s">
        <v>70</v>
      </c>
      <c r="G3" s="2" t="s">
        <v>31</v>
      </c>
      <c r="H3" s="2" t="s">
        <v>30</v>
      </c>
    </row>
    <row r="4" spans="1:10" x14ac:dyDescent="0.35">
      <c r="A4" s="50">
        <v>20</v>
      </c>
      <c r="B4" s="50">
        <v>0</v>
      </c>
      <c r="C4" s="50">
        <v>1</v>
      </c>
      <c r="E4" s="42">
        <v>20</v>
      </c>
      <c r="F4" s="43">
        <v>0</v>
      </c>
      <c r="G4" s="42" t="e">
        <f t="array" aca="1" ref="G4:H9" ca="1">LogitMatches(A4:C52,E4:F9)</f>
        <v>#NAME?</v>
      </c>
      <c r="H4" s="43" t="e">
        <f ca="1"/>
        <v>#NAME?</v>
      </c>
      <c r="J4" t="e" cm="1">
        <f t="array" aca="1" ref="J4" ca="1">FTEXT(G4)</f>
        <v>#NAME?</v>
      </c>
    </row>
    <row r="5" spans="1:10" x14ac:dyDescent="0.35">
      <c r="A5" s="50">
        <v>22</v>
      </c>
      <c r="B5" s="50">
        <v>1</v>
      </c>
      <c r="C5" s="50">
        <v>1</v>
      </c>
      <c r="E5" s="10">
        <v>22</v>
      </c>
      <c r="F5" s="11">
        <v>1</v>
      </c>
      <c r="G5" s="10" t="e">
        <f ca="1"/>
        <v>#NAME?</v>
      </c>
      <c r="H5" s="11" t="e">
        <f ca="1"/>
        <v>#NAME?</v>
      </c>
    </row>
    <row r="6" spans="1:10" x14ac:dyDescent="0.35">
      <c r="A6" s="50">
        <v>22</v>
      </c>
      <c r="B6" s="50">
        <v>1</v>
      </c>
      <c r="C6" s="50">
        <v>0</v>
      </c>
      <c r="E6" s="10">
        <v>24</v>
      </c>
      <c r="F6" s="11">
        <v>0</v>
      </c>
      <c r="G6" s="10" t="e">
        <f ca="1"/>
        <v>#NAME?</v>
      </c>
      <c r="H6" s="11" t="e">
        <f ca="1"/>
        <v>#NAME?</v>
      </c>
    </row>
    <row r="7" spans="1:10" x14ac:dyDescent="0.35">
      <c r="A7" s="50">
        <v>24</v>
      </c>
      <c r="B7" s="50">
        <v>0</v>
      </c>
      <c r="C7" s="50">
        <v>0</v>
      </c>
      <c r="E7" s="10">
        <v>22</v>
      </c>
      <c r="F7" s="11">
        <v>0</v>
      </c>
      <c r="G7" s="10" t="e">
        <f ca="1"/>
        <v>#NAME?</v>
      </c>
      <c r="H7" s="11" t="e">
        <f ca="1"/>
        <v>#NAME?</v>
      </c>
    </row>
    <row r="8" spans="1:10" x14ac:dyDescent="0.35">
      <c r="A8" s="50">
        <v>22</v>
      </c>
      <c r="B8" s="50">
        <v>0</v>
      </c>
      <c r="C8" s="50">
        <v>1</v>
      </c>
      <c r="E8" s="10">
        <v>20</v>
      </c>
      <c r="F8" s="11">
        <v>1</v>
      </c>
      <c r="G8" s="10" t="e">
        <f ca="1"/>
        <v>#NAME?</v>
      </c>
      <c r="H8" s="11" t="e">
        <f ca="1"/>
        <v>#NAME?</v>
      </c>
    </row>
    <row r="9" spans="1:10" x14ac:dyDescent="0.35">
      <c r="A9" s="50">
        <v>22</v>
      </c>
      <c r="B9" s="50">
        <v>1</v>
      </c>
      <c r="C9" s="50">
        <v>0</v>
      </c>
      <c r="E9" s="16">
        <v>24</v>
      </c>
      <c r="F9" s="17">
        <v>1</v>
      </c>
      <c r="G9" s="16" t="e">
        <f ca="1"/>
        <v>#NAME?</v>
      </c>
      <c r="H9" s="17" t="e">
        <f ca="1"/>
        <v>#NAME?</v>
      </c>
    </row>
    <row r="10" spans="1:10" x14ac:dyDescent="0.35">
      <c r="A10" s="50">
        <v>20</v>
      </c>
      <c r="B10" s="50">
        <v>1</v>
      </c>
      <c r="C10" s="50">
        <v>0</v>
      </c>
    </row>
    <row r="11" spans="1:10" x14ac:dyDescent="0.35">
      <c r="A11" s="50">
        <v>24</v>
      </c>
      <c r="B11" s="50">
        <v>1</v>
      </c>
      <c r="C11" s="50">
        <v>0</v>
      </c>
    </row>
    <row r="12" spans="1:10" x14ac:dyDescent="0.35">
      <c r="A12" s="50">
        <v>24</v>
      </c>
      <c r="B12" s="50">
        <v>0</v>
      </c>
      <c r="C12" s="50">
        <v>0</v>
      </c>
    </row>
    <row r="13" spans="1:10" x14ac:dyDescent="0.35">
      <c r="A13" s="50">
        <v>20</v>
      </c>
      <c r="B13" s="50">
        <v>0</v>
      </c>
      <c r="C13" s="50">
        <v>1</v>
      </c>
    </row>
    <row r="14" spans="1:10" x14ac:dyDescent="0.35">
      <c r="A14" s="50">
        <v>20</v>
      </c>
      <c r="B14" s="50">
        <v>0</v>
      </c>
      <c r="C14" s="50">
        <v>1</v>
      </c>
    </row>
    <row r="15" spans="1:10" x14ac:dyDescent="0.35">
      <c r="A15" s="50">
        <v>22</v>
      </c>
      <c r="B15" s="50">
        <v>1</v>
      </c>
      <c r="C15" s="50">
        <v>0</v>
      </c>
    </row>
    <row r="16" spans="1:10" x14ac:dyDescent="0.35">
      <c r="A16" s="50">
        <v>20</v>
      </c>
      <c r="B16" s="50">
        <v>1</v>
      </c>
      <c r="C16" s="50">
        <v>1</v>
      </c>
    </row>
    <row r="17" spans="1:3" x14ac:dyDescent="0.35">
      <c r="A17" s="50">
        <v>22</v>
      </c>
      <c r="B17" s="50">
        <v>0</v>
      </c>
      <c r="C17" s="50">
        <v>0</v>
      </c>
    </row>
    <row r="18" spans="1:3" x14ac:dyDescent="0.35">
      <c r="A18" s="50">
        <v>22</v>
      </c>
      <c r="B18" s="50">
        <v>0</v>
      </c>
      <c r="C18" s="50">
        <v>1</v>
      </c>
    </row>
    <row r="19" spans="1:3" x14ac:dyDescent="0.35">
      <c r="A19" s="50">
        <v>24</v>
      </c>
      <c r="B19" s="50">
        <v>1</v>
      </c>
      <c r="C19" s="50">
        <v>1</v>
      </c>
    </row>
    <row r="20" spans="1:3" x14ac:dyDescent="0.35">
      <c r="A20" s="50">
        <v>24</v>
      </c>
      <c r="B20" s="50">
        <v>0</v>
      </c>
      <c r="C20" s="50">
        <v>0</v>
      </c>
    </row>
    <row r="21" spans="1:3" x14ac:dyDescent="0.35">
      <c r="A21" s="50">
        <v>22</v>
      </c>
      <c r="B21" s="50">
        <v>1</v>
      </c>
      <c r="C21" s="50">
        <v>0</v>
      </c>
    </row>
    <row r="22" spans="1:3" x14ac:dyDescent="0.35">
      <c r="A22" s="50">
        <v>24</v>
      </c>
      <c r="B22" s="50">
        <v>1</v>
      </c>
      <c r="C22" s="50">
        <v>0</v>
      </c>
    </row>
    <row r="23" spans="1:3" x14ac:dyDescent="0.35">
      <c r="A23" s="50">
        <v>20</v>
      </c>
      <c r="B23" s="50">
        <v>0</v>
      </c>
      <c r="C23" s="50">
        <v>0</v>
      </c>
    </row>
    <row r="24" spans="1:3" x14ac:dyDescent="0.35">
      <c r="A24" s="50">
        <v>20</v>
      </c>
      <c r="B24" s="50">
        <v>1</v>
      </c>
      <c r="C24" s="50">
        <v>0</v>
      </c>
    </row>
    <row r="25" spans="1:3" x14ac:dyDescent="0.35">
      <c r="A25" s="50">
        <v>20</v>
      </c>
      <c r="B25" s="50">
        <v>0</v>
      </c>
      <c r="C25" s="50">
        <v>1</v>
      </c>
    </row>
    <row r="26" spans="1:3" x14ac:dyDescent="0.35">
      <c r="A26" s="50">
        <v>20</v>
      </c>
      <c r="B26" s="50">
        <v>1</v>
      </c>
      <c r="C26" s="50">
        <v>1</v>
      </c>
    </row>
    <row r="27" spans="1:3" x14ac:dyDescent="0.35">
      <c r="A27" s="50">
        <v>20</v>
      </c>
      <c r="B27" s="50">
        <v>1</v>
      </c>
      <c r="C27" s="50">
        <v>1</v>
      </c>
    </row>
    <row r="28" spans="1:3" x14ac:dyDescent="0.35">
      <c r="A28" s="50">
        <v>20</v>
      </c>
      <c r="B28" s="50">
        <v>0</v>
      </c>
      <c r="C28" s="50">
        <v>1</v>
      </c>
    </row>
    <row r="29" spans="1:3" x14ac:dyDescent="0.35">
      <c r="A29" s="50">
        <v>24</v>
      </c>
      <c r="B29" s="50">
        <v>0</v>
      </c>
      <c r="C29" s="50">
        <v>0</v>
      </c>
    </row>
    <row r="30" spans="1:3" x14ac:dyDescent="0.35">
      <c r="A30" s="50">
        <v>22</v>
      </c>
      <c r="B30" s="50">
        <v>0</v>
      </c>
      <c r="C30" s="50">
        <v>1</v>
      </c>
    </row>
    <row r="31" spans="1:3" x14ac:dyDescent="0.35">
      <c r="A31" s="50">
        <v>24</v>
      </c>
      <c r="B31" s="50">
        <v>1</v>
      </c>
      <c r="C31" s="50">
        <v>1</v>
      </c>
    </row>
    <row r="32" spans="1:3" x14ac:dyDescent="0.35">
      <c r="A32" s="50">
        <v>24</v>
      </c>
      <c r="B32" s="50">
        <v>0</v>
      </c>
      <c r="C32" s="50">
        <v>1</v>
      </c>
    </row>
    <row r="33" spans="1:3" x14ac:dyDescent="0.35">
      <c r="A33" s="50">
        <v>22</v>
      </c>
      <c r="B33" s="50">
        <v>1</v>
      </c>
      <c r="C33" s="50">
        <v>1</v>
      </c>
    </row>
    <row r="34" spans="1:3" x14ac:dyDescent="0.35">
      <c r="A34" s="50">
        <v>22</v>
      </c>
      <c r="B34" s="50">
        <v>0</v>
      </c>
      <c r="C34" s="50">
        <v>0</v>
      </c>
    </row>
    <row r="35" spans="1:3" x14ac:dyDescent="0.35">
      <c r="A35" s="50">
        <v>22</v>
      </c>
      <c r="B35" s="50">
        <v>0</v>
      </c>
      <c r="C35" s="50">
        <v>1</v>
      </c>
    </row>
    <row r="36" spans="1:3" x14ac:dyDescent="0.35">
      <c r="A36" s="50">
        <v>20</v>
      </c>
      <c r="B36" s="50">
        <v>1</v>
      </c>
      <c r="C36" s="50">
        <v>0</v>
      </c>
    </row>
    <row r="37" spans="1:3" x14ac:dyDescent="0.35">
      <c r="A37" s="50">
        <v>24</v>
      </c>
      <c r="B37" s="50">
        <v>1</v>
      </c>
      <c r="C37" s="50">
        <v>0</v>
      </c>
    </row>
    <row r="38" spans="1:3" x14ac:dyDescent="0.35">
      <c r="A38" s="50">
        <v>24</v>
      </c>
      <c r="B38" s="50">
        <v>0</v>
      </c>
      <c r="C38" s="50">
        <v>0</v>
      </c>
    </row>
    <row r="39" spans="1:3" x14ac:dyDescent="0.35">
      <c r="A39" s="50">
        <v>22</v>
      </c>
      <c r="B39" s="50">
        <v>1</v>
      </c>
      <c r="C39" s="50">
        <v>1</v>
      </c>
    </row>
    <row r="40" spans="1:3" x14ac:dyDescent="0.35">
      <c r="A40" s="50">
        <v>20</v>
      </c>
      <c r="B40" s="50">
        <v>0</v>
      </c>
      <c r="C40" s="50">
        <v>1</v>
      </c>
    </row>
    <row r="41" spans="1:3" x14ac:dyDescent="0.35">
      <c r="A41" s="50">
        <v>22</v>
      </c>
      <c r="B41" s="50">
        <v>0</v>
      </c>
      <c r="C41" s="50">
        <v>0</v>
      </c>
    </row>
    <row r="42" spans="1:3" x14ac:dyDescent="0.35">
      <c r="A42" s="50">
        <v>22</v>
      </c>
      <c r="B42" s="50">
        <v>1</v>
      </c>
      <c r="C42" s="50">
        <v>0</v>
      </c>
    </row>
    <row r="43" spans="1:3" x14ac:dyDescent="0.35">
      <c r="A43" s="50">
        <v>20</v>
      </c>
      <c r="B43" s="50">
        <v>1</v>
      </c>
      <c r="C43" s="50">
        <v>1</v>
      </c>
    </row>
    <row r="44" spans="1:3" x14ac:dyDescent="0.35">
      <c r="A44" s="50">
        <v>20</v>
      </c>
      <c r="B44" s="50">
        <v>1</v>
      </c>
      <c r="C44" s="50">
        <v>0</v>
      </c>
    </row>
    <row r="45" spans="1:3" x14ac:dyDescent="0.35">
      <c r="A45" s="50">
        <v>22</v>
      </c>
      <c r="B45" s="50">
        <v>1</v>
      </c>
      <c r="C45" s="50">
        <v>1</v>
      </c>
    </row>
    <row r="46" spans="1:3" x14ac:dyDescent="0.35">
      <c r="A46" s="50">
        <v>24</v>
      </c>
      <c r="B46" s="50">
        <v>0</v>
      </c>
      <c r="C46" s="50">
        <v>1</v>
      </c>
    </row>
    <row r="47" spans="1:3" x14ac:dyDescent="0.35">
      <c r="A47" s="50">
        <v>20</v>
      </c>
      <c r="B47" s="50">
        <v>1</v>
      </c>
      <c r="C47" s="50">
        <v>1</v>
      </c>
    </row>
    <row r="48" spans="1:3" x14ac:dyDescent="0.35">
      <c r="A48" s="50">
        <v>20</v>
      </c>
      <c r="B48" s="50">
        <v>0</v>
      </c>
      <c r="C48" s="50">
        <v>1</v>
      </c>
    </row>
    <row r="49" spans="1:3" x14ac:dyDescent="0.35">
      <c r="A49" s="50">
        <v>24</v>
      </c>
      <c r="B49" s="50">
        <v>1</v>
      </c>
      <c r="C49" s="50">
        <v>0</v>
      </c>
    </row>
    <row r="50" spans="1:3" x14ac:dyDescent="0.35">
      <c r="A50" s="50">
        <v>24</v>
      </c>
      <c r="B50" s="50">
        <v>1</v>
      </c>
      <c r="C50" s="50">
        <v>0</v>
      </c>
    </row>
    <row r="51" spans="1:3" x14ac:dyDescent="0.35">
      <c r="A51" s="50">
        <v>22</v>
      </c>
      <c r="B51" s="50">
        <v>0</v>
      </c>
      <c r="C51" s="50">
        <v>1</v>
      </c>
    </row>
    <row r="52" spans="1:3" x14ac:dyDescent="0.35">
      <c r="A52" s="30">
        <v>24</v>
      </c>
      <c r="B52" s="30">
        <v>1</v>
      </c>
      <c r="C52" s="3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742B-9108-4158-96B6-28332D7DC26C}">
  <sheetPr codeName="Sheet270"/>
  <dimension ref="A1:AT118"/>
  <sheetViews>
    <sheetView workbookViewId="0"/>
  </sheetViews>
  <sheetFormatPr defaultRowHeight="14.5" x14ac:dyDescent="0.35"/>
  <cols>
    <col min="4" max="5" width="9.1796875" customWidth="1"/>
    <col min="6" max="6" width="8.7265625" customWidth="1"/>
    <col min="7" max="9" width="9.1796875" customWidth="1"/>
    <col min="10" max="12" width="9.26953125" bestFit="1" customWidth="1"/>
    <col min="13" max="13" width="9.26953125" customWidth="1"/>
    <col min="14" max="15" width="9.26953125" bestFit="1" customWidth="1"/>
    <col min="17" max="29" width="9.1796875" customWidth="1"/>
    <col min="33" max="34" width="9.1796875" customWidth="1"/>
  </cols>
  <sheetData>
    <row r="1" spans="1:42" x14ac:dyDescent="0.35">
      <c r="A1" s="1" t="s">
        <v>84</v>
      </c>
      <c r="B1" s="1"/>
    </row>
    <row r="3" spans="1:42" x14ac:dyDescent="0.35">
      <c r="A3" s="51" t="s">
        <v>69</v>
      </c>
      <c r="B3" s="51" t="s">
        <v>70</v>
      </c>
      <c r="C3" s="51" t="s">
        <v>71</v>
      </c>
      <c r="D3" s="51" t="s">
        <v>74</v>
      </c>
      <c r="F3" t="s">
        <v>17</v>
      </c>
      <c r="AD3" t="s">
        <v>18</v>
      </c>
      <c r="AI3" t="s">
        <v>19</v>
      </c>
    </row>
    <row r="4" spans="1:42" ht="15" thickBot="1" x14ac:dyDescent="0.4">
      <c r="A4" s="50">
        <v>20</v>
      </c>
      <c r="B4" s="50">
        <v>0</v>
      </c>
      <c r="C4" s="50">
        <v>21</v>
      </c>
      <c r="D4" s="50">
        <v>0</v>
      </c>
    </row>
    <row r="5" spans="1:42" ht="15" thickTop="1" x14ac:dyDescent="0.35">
      <c r="A5" s="50">
        <v>21</v>
      </c>
      <c r="B5" s="50">
        <v>0</v>
      </c>
      <c r="C5" s="50">
        <v>90</v>
      </c>
      <c r="D5" s="50">
        <v>6</v>
      </c>
      <c r="F5" s="21" t="str">
        <f>A3</f>
        <v>Temp</v>
      </c>
      <c r="G5" s="21" t="str">
        <f>B3</f>
        <v>Water</v>
      </c>
      <c r="H5" s="21" t="str">
        <f>C3</f>
        <v>Male</v>
      </c>
      <c r="I5" s="21" t="str">
        <f>D3</f>
        <v>Female</v>
      </c>
      <c r="J5" s="21" t="s">
        <v>20</v>
      </c>
      <c r="K5" s="21" t="s">
        <v>21</v>
      </c>
      <c r="L5" s="21" t="s">
        <v>22</v>
      </c>
      <c r="M5" s="21" t="s">
        <v>23</v>
      </c>
      <c r="N5" s="21" t="s">
        <v>24</v>
      </c>
      <c r="O5" s="21" t="s">
        <v>12</v>
      </c>
      <c r="P5" s="21" t="s">
        <v>25</v>
      </c>
      <c r="S5" t="s">
        <v>13</v>
      </c>
      <c r="U5" t="s">
        <v>26</v>
      </c>
      <c r="V5" s="22">
        <f>H18*LN(H18/J18)+I18*LN(I18/J18)</f>
        <v>-576.26986120489823</v>
      </c>
      <c r="X5" t="s">
        <v>14</v>
      </c>
      <c r="AB5" t="s">
        <v>27</v>
      </c>
      <c r="AE5" s="3" t="s">
        <v>28</v>
      </c>
      <c r="AF5" s="3" t="s">
        <v>29</v>
      </c>
      <c r="AI5" s="21" t="s">
        <v>22</v>
      </c>
      <c r="AJ5" s="21" t="s">
        <v>30</v>
      </c>
      <c r="AK5" s="21" t="s">
        <v>31</v>
      </c>
      <c r="AL5" s="21" t="s">
        <v>32</v>
      </c>
      <c r="AM5" s="21" t="s">
        <v>33</v>
      </c>
      <c r="AN5" s="21" t="s">
        <v>34</v>
      </c>
      <c r="AO5" s="21" t="s">
        <v>35</v>
      </c>
      <c r="AP5" s="21" t="s">
        <v>36</v>
      </c>
    </row>
    <row r="6" spans="1:42" x14ac:dyDescent="0.35">
      <c r="A6" s="50">
        <v>22</v>
      </c>
      <c r="B6" s="50">
        <v>0</v>
      </c>
      <c r="C6" s="50">
        <v>91</v>
      </c>
      <c r="D6" s="50">
        <v>23</v>
      </c>
      <c r="F6">
        <f t="shared" ref="F6:I17" si="0">A4</f>
        <v>20</v>
      </c>
      <c r="G6">
        <f t="shared" si="0"/>
        <v>0</v>
      </c>
      <c r="H6" s="23">
        <f t="shared" si="0"/>
        <v>21</v>
      </c>
      <c r="I6">
        <f t="shared" si="0"/>
        <v>0</v>
      </c>
      <c r="J6" s="24">
        <f>H6+I6</f>
        <v>21</v>
      </c>
      <c r="K6">
        <f>H6/J6</f>
        <v>1</v>
      </c>
      <c r="L6" t="e">
        <f ca="1">1/(1+EXP(-$S$7-MMULT(F6:G6,$S$8:$S$9)))</f>
        <v>#NAME?</v>
      </c>
      <c r="M6" s="25" t="e">
        <f ca="1">J6*L6</f>
        <v>#NAME?</v>
      </c>
      <c r="N6" s="26" t="e">
        <f ca="1">J6-M6</f>
        <v>#NAME?</v>
      </c>
      <c r="O6" t="e">
        <f ca="1">J6*(K6*LN(L6)+(1-K6)*LN(1-L6))</f>
        <v>#NAME?</v>
      </c>
      <c r="P6" t="e">
        <f ca="1">100*IF(L6&gt;=$AE$12,H6/J6,I6/J6)</f>
        <v>#NAME?</v>
      </c>
      <c r="U6" t="s">
        <v>37</v>
      </c>
      <c r="V6" s="27" t="e">
        <f ca="1">O18</f>
        <v>#NAME?</v>
      </c>
      <c r="X6" s="25" t="e">
        <f t="array" aca="1" ref="X6:Z8" ca="1">MINVERSE(MMULT(TRANSPOSE(DEsign(F6:G17)),L6:L17*(1-L6:L17)*J6:J17*DEsign(F6:G17)))</f>
        <v>#NAME?</v>
      </c>
      <c r="Y6" s="45" t="e">
        <f ca="1"/>
        <v>#NAME?</v>
      </c>
      <c r="Z6" s="26" t="e">
        <f ca="1"/>
        <v>#NAME?</v>
      </c>
      <c r="AB6" s="22" t="e">
        <f t="array" aca="1" ref="AB6:AB8" ca="1">MMULT(X6:Z8,MMULT(TRANSPOSE(DEsign(F6:G17)),J6:J17*(K6:K17-L6:L17)))</f>
        <v>#NAME?</v>
      </c>
      <c r="AD6" t="s">
        <v>23</v>
      </c>
      <c r="AE6" s="25">
        <f ca="1">SUMIF(L6:L17,"&gt;="&amp;AE12,H6:H17)</f>
        <v>0</v>
      </c>
      <c r="AF6" s="26">
        <f ca="1">SUMIF(L6:L17,"&gt;="&amp;AE12,I6:I17)</f>
        <v>0</v>
      </c>
      <c r="AG6">
        <f ca="1">AE6+AF6</f>
        <v>0</v>
      </c>
      <c r="AL6">
        <v>0</v>
      </c>
      <c r="AM6">
        <v>0</v>
      </c>
      <c r="AN6" t="e">
        <f ca="1">1-AL6/AL$18</f>
        <v>#NAME?</v>
      </c>
      <c r="AO6" t="e">
        <f ca="1">1-AM6/AM$18</f>
        <v>#NAME?</v>
      </c>
      <c r="AP6" t="e">
        <f ca="1">(AN6-AN7)*AO6</f>
        <v>#NAME?</v>
      </c>
    </row>
    <row r="7" spans="1:42" x14ac:dyDescent="0.35">
      <c r="A7" s="50">
        <v>23</v>
      </c>
      <c r="B7" s="50">
        <v>0</v>
      </c>
      <c r="C7" s="50">
        <v>61</v>
      </c>
      <c r="D7" s="50">
        <v>73</v>
      </c>
      <c r="F7">
        <f t="shared" si="0"/>
        <v>21</v>
      </c>
      <c r="G7">
        <f t="shared" si="0"/>
        <v>0</v>
      </c>
      <c r="H7" s="23">
        <f t="shared" si="0"/>
        <v>90</v>
      </c>
      <c r="I7">
        <f t="shared" si="0"/>
        <v>6</v>
      </c>
      <c r="J7" s="24">
        <f t="shared" ref="J7:J17" si="1">H7+I7</f>
        <v>96</v>
      </c>
      <c r="K7">
        <f t="shared" ref="K7:K17" si="2">H7/J7</f>
        <v>0.9375</v>
      </c>
      <c r="L7" t="e">
        <f t="shared" ref="L7:L17" ca="1" si="3">1/(1+EXP(-$S$7-MMULT(F7:G7,$S$8:$S$9)))</f>
        <v>#NAME?</v>
      </c>
      <c r="M7" s="23" t="e">
        <f t="shared" ref="M7:M17" ca="1" si="4">J7*L7</f>
        <v>#NAME?</v>
      </c>
      <c r="N7" s="24" t="e">
        <f t="shared" ref="N7:N17" ca="1" si="5">J7-M7</f>
        <v>#NAME?</v>
      </c>
      <c r="O7" t="e">
        <f t="shared" ref="O7:O17" ca="1" si="6">J7*(K7*LN(L7)+(1-K7)*LN(1-L7))</f>
        <v>#NAME?</v>
      </c>
      <c r="P7" t="e">
        <f ca="1">100*IF(L7&gt;=$AE$12,H7/J7,I7/J7)</f>
        <v>#NAME?</v>
      </c>
      <c r="S7" s="22" t="e">
        <f t="array" aca="1" ref="S7:S9" ca="1">LogitCoeff(F6:I17,,,,,20)</f>
        <v>#NAME?</v>
      </c>
      <c r="X7" s="23" t="e">
        <f ca="1"/>
        <v>#NAME?</v>
      </c>
      <c r="Y7" t="e">
        <f ca="1"/>
        <v>#NAME?</v>
      </c>
      <c r="Z7" s="24" t="e">
        <f ca="1"/>
        <v>#NAME?</v>
      </c>
      <c r="AB7" s="31" t="e">
        <f ca="1"/>
        <v>#NAME?</v>
      </c>
      <c r="AD7" t="s">
        <v>24</v>
      </c>
      <c r="AE7" s="28">
        <f ca="1">AE8-AE6</f>
        <v>522</v>
      </c>
      <c r="AF7" s="29">
        <f ca="1">AF8-AF6</f>
        <v>338</v>
      </c>
      <c r="AG7">
        <f ca="1">AE7+AF7</f>
        <v>860</v>
      </c>
      <c r="AI7" t="e">
        <f t="array" aca="1" ref="AI7:AK18" ca="1">SelectCols(H6:L17,"5,2,1",1)</f>
        <v>#NAME?</v>
      </c>
      <c r="AJ7" t="e">
        <f ca="1"/>
        <v>#NAME?</v>
      </c>
      <c r="AK7" t="e">
        <f ca="1"/>
        <v>#NAME?</v>
      </c>
      <c r="AL7" t="e">
        <f ca="1">AL6+AJ7</f>
        <v>#NAME?</v>
      </c>
      <c r="AM7" t="e">
        <f ca="1">AM6+AK7</f>
        <v>#NAME?</v>
      </c>
      <c r="AN7" t="e">
        <f t="shared" ref="AN7:AO18" ca="1" si="7">1-AL7/AL$18</f>
        <v>#NAME?</v>
      </c>
      <c r="AO7" t="e">
        <f t="shared" ca="1" si="7"/>
        <v>#NAME?</v>
      </c>
      <c r="AP7" t="e">
        <f t="shared" ref="AP7:AP18" ca="1" si="8">(AN7-AN8)*AO7</f>
        <v>#NAME?</v>
      </c>
    </row>
    <row r="8" spans="1:42" x14ac:dyDescent="0.35">
      <c r="A8" s="50">
        <v>24</v>
      </c>
      <c r="B8" s="50">
        <v>0</v>
      </c>
      <c r="C8" s="50">
        <v>11</v>
      </c>
      <c r="D8" s="50">
        <v>41</v>
      </c>
      <c r="F8">
        <f t="shared" si="0"/>
        <v>22</v>
      </c>
      <c r="G8">
        <f t="shared" si="0"/>
        <v>0</v>
      </c>
      <c r="H8" s="23">
        <f t="shared" si="0"/>
        <v>91</v>
      </c>
      <c r="I8">
        <f t="shared" si="0"/>
        <v>23</v>
      </c>
      <c r="J8" s="24">
        <f t="shared" si="1"/>
        <v>114</v>
      </c>
      <c r="K8">
        <f t="shared" si="2"/>
        <v>0.79824561403508776</v>
      </c>
      <c r="L8" t="e">
        <f t="shared" ca="1" si="3"/>
        <v>#NAME?</v>
      </c>
      <c r="M8" s="23" t="e">
        <f t="shared" ca="1" si="4"/>
        <v>#NAME?</v>
      </c>
      <c r="N8" s="24" t="e">
        <f t="shared" ca="1" si="5"/>
        <v>#NAME?</v>
      </c>
      <c r="O8" t="e">
        <f ca="1">J8*(K8*LN(L8)+(1-K8)*LN(1-L8))</f>
        <v>#NAME?</v>
      </c>
      <c r="P8" t="e">
        <f t="shared" ref="P8:P17" ca="1" si="9">100*IF(L8&gt;=$AE$12,H8/J8,I8/J8)</f>
        <v>#NAME?</v>
      </c>
      <c r="S8" s="31" t="e">
        <f ca="1"/>
        <v>#NAME?</v>
      </c>
      <c r="U8" t="s">
        <v>38</v>
      </c>
      <c r="V8" s="22" t="e">
        <f ca="1">2*(V6-V5)</f>
        <v>#NAME?</v>
      </c>
      <c r="X8" s="28" t="e">
        <f ca="1"/>
        <v>#NAME?</v>
      </c>
      <c r="Y8" s="36" t="e">
        <f ca="1"/>
        <v>#NAME?</v>
      </c>
      <c r="Z8" s="29" t="e">
        <f ca="1"/>
        <v>#NAME?</v>
      </c>
      <c r="AB8" s="27" t="e">
        <f ca="1"/>
        <v>#NAME?</v>
      </c>
      <c r="AE8">
        <f>H18</f>
        <v>522</v>
      </c>
      <c r="AF8">
        <f>I18</f>
        <v>338</v>
      </c>
      <c r="AG8">
        <f>AE8+AF8</f>
        <v>860</v>
      </c>
      <c r="AI8" t="e">
        <f ca="1"/>
        <v>#NAME?</v>
      </c>
      <c r="AJ8" t="e">
        <f ca="1"/>
        <v>#NAME?</v>
      </c>
      <c r="AK8" t="e">
        <f ca="1"/>
        <v>#NAME?</v>
      </c>
      <c r="AL8" t="e">
        <f ca="1">AL7+AJ8</f>
        <v>#NAME?</v>
      </c>
      <c r="AM8" t="e">
        <f t="shared" ref="AM8:AM18" ca="1" si="10">AM7+AK8</f>
        <v>#NAME?</v>
      </c>
      <c r="AN8" t="e">
        <f ca="1">1-AL8/AL$18</f>
        <v>#NAME?</v>
      </c>
      <c r="AO8" t="e">
        <f ca="1">1-AM8/AM$18</f>
        <v>#NAME?</v>
      </c>
      <c r="AP8" t="e">
        <f ca="1">(AN8-AN9)*AO8</f>
        <v>#NAME?</v>
      </c>
    </row>
    <row r="9" spans="1:42" x14ac:dyDescent="0.35">
      <c r="A9" s="50">
        <v>25</v>
      </c>
      <c r="B9" s="50">
        <v>0</v>
      </c>
      <c r="C9" s="50">
        <v>4</v>
      </c>
      <c r="D9" s="50">
        <v>28</v>
      </c>
      <c r="F9">
        <f t="shared" si="0"/>
        <v>23</v>
      </c>
      <c r="G9">
        <f t="shared" si="0"/>
        <v>0</v>
      </c>
      <c r="H9" s="23">
        <f t="shared" si="0"/>
        <v>61</v>
      </c>
      <c r="I9">
        <f t="shared" si="0"/>
        <v>73</v>
      </c>
      <c r="J9" s="24">
        <f t="shared" si="1"/>
        <v>134</v>
      </c>
      <c r="K9">
        <f t="shared" si="2"/>
        <v>0.45522388059701491</v>
      </c>
      <c r="L9" t="e">
        <f t="shared" ca="1" si="3"/>
        <v>#NAME?</v>
      </c>
      <c r="M9" s="23" t="e">
        <f t="shared" ca="1" si="4"/>
        <v>#NAME?</v>
      </c>
      <c r="N9" s="24" t="e">
        <f t="shared" ca="1" si="5"/>
        <v>#NAME?</v>
      </c>
      <c r="O9" t="e">
        <f t="shared" ref="O9:O19" ca="1" si="11">J9*(K9*LN(L9)+(1-K9)*LN(1-L9))</f>
        <v>#NAME?</v>
      </c>
      <c r="P9" t="e">
        <f t="shared" ca="1" si="9"/>
        <v>#NAME?</v>
      </c>
      <c r="S9" s="27" t="e">
        <f ca="1"/>
        <v>#NAME?</v>
      </c>
      <c r="U9" t="s">
        <v>39</v>
      </c>
      <c r="V9" s="31">
        <f>COUNT(F6:G6)</f>
        <v>2</v>
      </c>
      <c r="AI9" t="e">
        <f ca="1"/>
        <v>#NAME?</v>
      </c>
      <c r="AJ9" t="e">
        <f ca="1"/>
        <v>#NAME?</v>
      </c>
      <c r="AK9" t="e">
        <f ca="1"/>
        <v>#NAME?</v>
      </c>
      <c r="AL9" t="e">
        <f t="shared" ref="AL9:AL18" ca="1" si="12">AL8+AJ9</f>
        <v>#NAME?</v>
      </c>
      <c r="AM9" t="e">
        <f ca="1">AM8+AK9</f>
        <v>#NAME?</v>
      </c>
      <c r="AN9" t="e">
        <f t="shared" ca="1" si="7"/>
        <v>#NAME?</v>
      </c>
      <c r="AO9" t="e">
        <f t="shared" ca="1" si="7"/>
        <v>#NAME?</v>
      </c>
      <c r="AP9" t="e">
        <f t="shared" ca="1" si="8"/>
        <v>#NAME?</v>
      </c>
    </row>
    <row r="10" spans="1:42" x14ac:dyDescent="0.35">
      <c r="A10" s="50">
        <v>20</v>
      </c>
      <c r="B10" s="50">
        <v>1</v>
      </c>
      <c r="C10" s="50">
        <v>18</v>
      </c>
      <c r="D10" s="50">
        <v>4</v>
      </c>
      <c r="F10">
        <f t="shared" si="0"/>
        <v>24</v>
      </c>
      <c r="G10">
        <f t="shared" si="0"/>
        <v>0</v>
      </c>
      <c r="H10" s="23">
        <f t="shared" si="0"/>
        <v>11</v>
      </c>
      <c r="I10">
        <f t="shared" si="0"/>
        <v>41</v>
      </c>
      <c r="J10" s="24">
        <f t="shared" si="1"/>
        <v>52</v>
      </c>
      <c r="K10">
        <f t="shared" si="2"/>
        <v>0.21153846153846154</v>
      </c>
      <c r="L10" t="e">
        <f t="shared" ca="1" si="3"/>
        <v>#NAME?</v>
      </c>
      <c r="M10" s="23" t="e">
        <f t="shared" ca="1" si="4"/>
        <v>#NAME?</v>
      </c>
      <c r="N10" s="24" t="e">
        <f t="shared" ca="1" si="5"/>
        <v>#NAME?</v>
      </c>
      <c r="O10" t="e">
        <f t="shared" ca="1" si="11"/>
        <v>#NAME?</v>
      </c>
      <c r="P10" t="e">
        <f t="shared" ca="1" si="9"/>
        <v>#NAME?</v>
      </c>
      <c r="U10" t="s">
        <v>40</v>
      </c>
      <c r="V10" s="31" t="e">
        <f ca="1">_xlfn.CHISQ.DIST.RT(V8,V9)</f>
        <v>#NAME?</v>
      </c>
      <c r="AD10" t="s">
        <v>41</v>
      </c>
      <c r="AE10" s="32">
        <f ca="1">AE6/AE8</f>
        <v>0</v>
      </c>
      <c r="AF10" s="33">
        <f ca="1">AF7/AF8</f>
        <v>1</v>
      </c>
      <c r="AG10">
        <f ca="1">(AE6+AF7)/AG8</f>
        <v>0.39302325581395348</v>
      </c>
      <c r="AI10" t="e">
        <f ca="1"/>
        <v>#NAME?</v>
      </c>
      <c r="AJ10" t="e">
        <f ca="1"/>
        <v>#NAME?</v>
      </c>
      <c r="AK10" t="e">
        <f ca="1"/>
        <v>#NAME?</v>
      </c>
      <c r="AL10" t="e">
        <f t="shared" ca="1" si="12"/>
        <v>#NAME?</v>
      </c>
      <c r="AM10" t="e">
        <f t="shared" ca="1" si="10"/>
        <v>#NAME?</v>
      </c>
      <c r="AN10" t="e">
        <f t="shared" ca="1" si="7"/>
        <v>#NAME?</v>
      </c>
      <c r="AO10" t="e">
        <f t="shared" ca="1" si="7"/>
        <v>#NAME?</v>
      </c>
      <c r="AP10" t="e">
        <f t="shared" ca="1" si="8"/>
        <v>#NAME?</v>
      </c>
    </row>
    <row r="11" spans="1:42" x14ac:dyDescent="0.35">
      <c r="A11" s="50">
        <v>21</v>
      </c>
      <c r="B11" s="50">
        <v>1</v>
      </c>
      <c r="C11" s="50">
        <v>75</v>
      </c>
      <c r="D11" s="50">
        <v>9</v>
      </c>
      <c r="F11">
        <f t="shared" si="0"/>
        <v>25</v>
      </c>
      <c r="G11">
        <f t="shared" si="0"/>
        <v>0</v>
      </c>
      <c r="H11" s="23">
        <f t="shared" si="0"/>
        <v>4</v>
      </c>
      <c r="I11">
        <f t="shared" si="0"/>
        <v>28</v>
      </c>
      <c r="J11" s="24">
        <f t="shared" si="1"/>
        <v>32</v>
      </c>
      <c r="K11">
        <f t="shared" si="2"/>
        <v>0.125</v>
      </c>
      <c r="L11" t="e">
        <f t="shared" ca="1" si="3"/>
        <v>#NAME?</v>
      </c>
      <c r="M11" s="23" t="e">
        <f t="shared" ca="1" si="4"/>
        <v>#NAME?</v>
      </c>
      <c r="N11" s="24" t="e">
        <f t="shared" ca="1" si="5"/>
        <v>#NAME?</v>
      </c>
      <c r="O11" t="e">
        <f t="shared" ca="1" si="11"/>
        <v>#NAME?</v>
      </c>
      <c r="P11" t="e">
        <f t="shared" ca="1" si="9"/>
        <v>#NAME?</v>
      </c>
      <c r="U11" t="s">
        <v>42</v>
      </c>
      <c r="V11" s="31">
        <v>0.05</v>
      </c>
      <c r="AI11" t="e">
        <f ca="1"/>
        <v>#NAME?</v>
      </c>
      <c r="AJ11" t="e">
        <f ca="1"/>
        <v>#NAME?</v>
      </c>
      <c r="AK11" t="e">
        <f ca="1"/>
        <v>#NAME?</v>
      </c>
      <c r="AL11" t="e">
        <f t="shared" ca="1" si="12"/>
        <v>#NAME?</v>
      </c>
      <c r="AM11" t="e">
        <f t="shared" ca="1" si="10"/>
        <v>#NAME?</v>
      </c>
      <c r="AN11" t="e">
        <f t="shared" ca="1" si="7"/>
        <v>#NAME?</v>
      </c>
      <c r="AO11" t="e">
        <f t="shared" ca="1" si="7"/>
        <v>#NAME?</v>
      </c>
      <c r="AP11" t="e">
        <f t="shared" ca="1" si="8"/>
        <v>#NAME?</v>
      </c>
    </row>
    <row r="12" spans="1:42" x14ac:dyDescent="0.35">
      <c r="A12" s="50">
        <v>22</v>
      </c>
      <c r="B12" s="50">
        <v>1</v>
      </c>
      <c r="C12" s="50">
        <v>68</v>
      </c>
      <c r="D12" s="50">
        <v>21</v>
      </c>
      <c r="F12">
        <f t="shared" si="0"/>
        <v>20</v>
      </c>
      <c r="G12">
        <f t="shared" si="0"/>
        <v>1</v>
      </c>
      <c r="H12" s="23">
        <f t="shared" si="0"/>
        <v>18</v>
      </c>
      <c r="I12">
        <f t="shared" si="0"/>
        <v>4</v>
      </c>
      <c r="J12" s="24">
        <f t="shared" si="1"/>
        <v>22</v>
      </c>
      <c r="K12">
        <f t="shared" si="2"/>
        <v>0.81818181818181823</v>
      </c>
      <c r="L12" t="e">
        <f t="shared" ca="1" si="3"/>
        <v>#NAME?</v>
      </c>
      <c r="M12" s="23" t="e">
        <f t="shared" ca="1" si="4"/>
        <v>#NAME?</v>
      </c>
      <c r="N12" s="24" t="e">
        <f t="shared" ca="1" si="5"/>
        <v>#NAME?</v>
      </c>
      <c r="O12" t="e">
        <f t="shared" ca="1" si="11"/>
        <v>#NAME?</v>
      </c>
      <c r="P12" t="e">
        <f t="shared" ca="1" si="9"/>
        <v>#NAME?</v>
      </c>
      <c r="U12" t="s">
        <v>43</v>
      </c>
      <c r="V12" s="34" t="e">
        <f ca="1">IF(V10&lt;V11,"yes","no")</f>
        <v>#NAME?</v>
      </c>
      <c r="AD12" t="s">
        <v>44</v>
      </c>
      <c r="AE12" s="35">
        <v>0.5</v>
      </c>
      <c r="AI12" t="e">
        <f ca="1"/>
        <v>#NAME?</v>
      </c>
      <c r="AJ12" t="e">
        <f ca="1"/>
        <v>#NAME?</v>
      </c>
      <c r="AK12" t="e">
        <f ca="1"/>
        <v>#NAME?</v>
      </c>
      <c r="AL12" t="e">
        <f t="shared" ca="1" si="12"/>
        <v>#NAME?</v>
      </c>
      <c r="AM12" t="e">
        <f t="shared" ca="1" si="10"/>
        <v>#NAME?</v>
      </c>
      <c r="AN12" t="e">
        <f t="shared" ca="1" si="7"/>
        <v>#NAME?</v>
      </c>
      <c r="AO12" t="e">
        <f t="shared" ca="1" si="7"/>
        <v>#NAME?</v>
      </c>
      <c r="AP12" t="e">
        <f t="shared" ca="1" si="8"/>
        <v>#NAME?</v>
      </c>
    </row>
    <row r="13" spans="1:42" x14ac:dyDescent="0.35">
      <c r="A13" s="50">
        <v>23</v>
      </c>
      <c r="B13" s="50">
        <v>1</v>
      </c>
      <c r="C13" s="50">
        <v>59</v>
      </c>
      <c r="D13" s="50">
        <v>65</v>
      </c>
      <c r="F13">
        <f t="shared" si="0"/>
        <v>21</v>
      </c>
      <c r="G13">
        <f t="shared" si="0"/>
        <v>1</v>
      </c>
      <c r="H13" s="23">
        <f t="shared" si="0"/>
        <v>75</v>
      </c>
      <c r="I13">
        <f t="shared" si="0"/>
        <v>9</v>
      </c>
      <c r="J13" s="24">
        <f t="shared" si="1"/>
        <v>84</v>
      </c>
      <c r="K13">
        <f t="shared" si="2"/>
        <v>0.8928571428571429</v>
      </c>
      <c r="L13" t="e">
        <f t="shared" ca="1" si="3"/>
        <v>#NAME?</v>
      </c>
      <c r="M13" s="23" t="e">
        <f t="shared" ca="1" si="4"/>
        <v>#NAME?</v>
      </c>
      <c r="N13" s="24" t="e">
        <f t="shared" ca="1" si="5"/>
        <v>#NAME?</v>
      </c>
      <c r="O13" t="e">
        <f t="shared" ca="1" si="11"/>
        <v>#NAME?</v>
      </c>
      <c r="P13" t="e">
        <f t="shared" ca="1" si="9"/>
        <v>#NAME?</v>
      </c>
      <c r="AI13" t="e">
        <f ca="1"/>
        <v>#NAME?</v>
      </c>
      <c r="AJ13" t="e">
        <f ca="1"/>
        <v>#NAME?</v>
      </c>
      <c r="AK13" t="e">
        <f ca="1"/>
        <v>#NAME?</v>
      </c>
      <c r="AL13" t="e">
        <f t="shared" ca="1" si="12"/>
        <v>#NAME?</v>
      </c>
      <c r="AM13" t="e">
        <f t="shared" ca="1" si="10"/>
        <v>#NAME?</v>
      </c>
      <c r="AN13" t="e">
        <f t="shared" ca="1" si="7"/>
        <v>#NAME?</v>
      </c>
      <c r="AO13" t="e">
        <f t="shared" ca="1" si="7"/>
        <v>#NAME?</v>
      </c>
      <c r="AP13" t="e">
        <f t="shared" ca="1" si="8"/>
        <v>#NAME?</v>
      </c>
    </row>
    <row r="14" spans="1:42" x14ac:dyDescent="0.35">
      <c r="A14" s="50">
        <v>24</v>
      </c>
      <c r="B14" s="50">
        <v>1</v>
      </c>
      <c r="C14" s="50">
        <v>17</v>
      </c>
      <c r="D14" s="50">
        <v>46</v>
      </c>
      <c r="F14">
        <f t="shared" si="0"/>
        <v>22</v>
      </c>
      <c r="G14">
        <f t="shared" si="0"/>
        <v>1</v>
      </c>
      <c r="H14" s="23">
        <f t="shared" si="0"/>
        <v>68</v>
      </c>
      <c r="I14">
        <f t="shared" si="0"/>
        <v>21</v>
      </c>
      <c r="J14" s="24">
        <f t="shared" si="1"/>
        <v>89</v>
      </c>
      <c r="K14">
        <f t="shared" si="2"/>
        <v>0.7640449438202247</v>
      </c>
      <c r="L14" t="e">
        <f t="shared" ca="1" si="3"/>
        <v>#NAME?</v>
      </c>
      <c r="M14" s="23" t="e">
        <f t="shared" ca="1" si="4"/>
        <v>#NAME?</v>
      </c>
      <c r="N14" s="24" t="e">
        <f t="shared" ca="1" si="5"/>
        <v>#NAME?</v>
      </c>
      <c r="O14" t="e">
        <f t="shared" ca="1" si="11"/>
        <v>#NAME?</v>
      </c>
      <c r="P14" t="e">
        <f t="shared" ca="1" si="9"/>
        <v>#NAME?</v>
      </c>
      <c r="U14" t="s">
        <v>45</v>
      </c>
      <c r="V14" s="22" t="e">
        <f ca="1">1-V6/V5</f>
        <v>#NAME?</v>
      </c>
      <c r="AI14" t="e">
        <f ca="1"/>
        <v>#NAME?</v>
      </c>
      <c r="AJ14" t="e">
        <f ca="1"/>
        <v>#NAME?</v>
      </c>
      <c r="AK14" t="e">
        <f ca="1"/>
        <v>#NAME?</v>
      </c>
      <c r="AL14" t="e">
        <f t="shared" ca="1" si="12"/>
        <v>#NAME?</v>
      </c>
      <c r="AM14" t="e">
        <f t="shared" ca="1" si="10"/>
        <v>#NAME?</v>
      </c>
      <c r="AN14" t="e">
        <f t="shared" ca="1" si="7"/>
        <v>#NAME?</v>
      </c>
      <c r="AO14" t="e">
        <f t="shared" ca="1" si="7"/>
        <v>#NAME?</v>
      </c>
      <c r="AP14" t="e">
        <f t="shared" ca="1" si="8"/>
        <v>#NAME?</v>
      </c>
    </row>
    <row r="15" spans="1:42" x14ac:dyDescent="0.35">
      <c r="A15" s="30">
        <v>25</v>
      </c>
      <c r="B15" s="30">
        <v>1</v>
      </c>
      <c r="C15" s="30">
        <v>7</v>
      </c>
      <c r="D15" s="30">
        <v>22</v>
      </c>
      <c r="F15">
        <f t="shared" si="0"/>
        <v>23</v>
      </c>
      <c r="G15">
        <f t="shared" si="0"/>
        <v>1</v>
      </c>
      <c r="H15" s="23">
        <f t="shared" si="0"/>
        <v>59</v>
      </c>
      <c r="I15">
        <f t="shared" si="0"/>
        <v>65</v>
      </c>
      <c r="J15" s="24">
        <f t="shared" si="1"/>
        <v>124</v>
      </c>
      <c r="K15">
        <f t="shared" si="2"/>
        <v>0.47580645161290325</v>
      </c>
      <c r="L15" t="e">
        <f t="shared" ca="1" si="3"/>
        <v>#NAME?</v>
      </c>
      <c r="M15" s="23" t="e">
        <f t="shared" ca="1" si="4"/>
        <v>#NAME?</v>
      </c>
      <c r="N15" s="24" t="e">
        <f t="shared" ca="1" si="5"/>
        <v>#NAME?</v>
      </c>
      <c r="O15" t="e">
        <f t="shared" ca="1" si="11"/>
        <v>#NAME?</v>
      </c>
      <c r="P15" t="e">
        <f t="shared" ca="1" si="9"/>
        <v>#NAME?</v>
      </c>
      <c r="U15" t="s">
        <v>46</v>
      </c>
      <c r="V15" s="31" t="e">
        <f ca="1">1-EXP((-2/J18)*(V6-V5))</f>
        <v>#NAME?</v>
      </c>
      <c r="AI15" t="e">
        <f ca="1"/>
        <v>#NAME?</v>
      </c>
      <c r="AJ15" t="e">
        <f ca="1"/>
        <v>#NAME?</v>
      </c>
      <c r="AK15" t="e">
        <f ca="1"/>
        <v>#NAME?</v>
      </c>
      <c r="AL15" t="e">
        <f t="shared" ca="1" si="12"/>
        <v>#NAME?</v>
      </c>
      <c r="AM15" t="e">
        <f t="shared" ca="1" si="10"/>
        <v>#NAME?</v>
      </c>
      <c r="AN15" t="e">
        <f t="shared" ca="1" si="7"/>
        <v>#NAME?</v>
      </c>
      <c r="AO15" t="e">
        <f t="shared" ca="1" si="7"/>
        <v>#NAME?</v>
      </c>
      <c r="AP15" t="e">
        <f t="shared" ca="1" si="8"/>
        <v>#NAME?</v>
      </c>
    </row>
    <row r="16" spans="1:42" x14ac:dyDescent="0.35">
      <c r="C16">
        <f>SUM(C4:C15)</f>
        <v>522</v>
      </c>
      <c r="D16">
        <f>SUM(D4:D15)</f>
        <v>338</v>
      </c>
      <c r="F16">
        <f t="shared" si="0"/>
        <v>24</v>
      </c>
      <c r="G16">
        <f t="shared" si="0"/>
        <v>1</v>
      </c>
      <c r="H16" s="23">
        <f t="shared" si="0"/>
        <v>17</v>
      </c>
      <c r="I16">
        <f t="shared" si="0"/>
        <v>46</v>
      </c>
      <c r="J16" s="24">
        <f t="shared" si="1"/>
        <v>63</v>
      </c>
      <c r="K16">
        <f t="shared" si="2"/>
        <v>0.26984126984126983</v>
      </c>
      <c r="L16" t="e">
        <f t="shared" ca="1" si="3"/>
        <v>#NAME?</v>
      </c>
      <c r="M16" s="23" t="e">
        <f t="shared" ca="1" si="4"/>
        <v>#NAME?</v>
      </c>
      <c r="N16" s="24" t="e">
        <f t="shared" ca="1" si="5"/>
        <v>#NAME?</v>
      </c>
      <c r="O16" t="e">
        <f t="shared" ca="1" si="11"/>
        <v>#NAME?</v>
      </c>
      <c r="P16" t="e">
        <f t="shared" ca="1" si="9"/>
        <v>#NAME?</v>
      </c>
      <c r="U16" t="s">
        <v>47</v>
      </c>
      <c r="V16" s="31" t="e">
        <f ca="1">V15/(1-EXP(2*V5/J18))</f>
        <v>#NAME?</v>
      </c>
      <c r="AI16" t="e">
        <f ca="1"/>
        <v>#NAME?</v>
      </c>
      <c r="AJ16" t="e">
        <f ca="1"/>
        <v>#NAME?</v>
      </c>
      <c r="AK16" t="e">
        <f ca="1"/>
        <v>#NAME?</v>
      </c>
      <c r="AL16" t="e">
        <f t="shared" ca="1" si="12"/>
        <v>#NAME?</v>
      </c>
      <c r="AM16" t="e">
        <f t="shared" ca="1" si="10"/>
        <v>#NAME?</v>
      </c>
      <c r="AN16" t="e">
        <f t="shared" ca="1" si="7"/>
        <v>#NAME?</v>
      </c>
      <c r="AO16" t="e">
        <f t="shared" ca="1" si="7"/>
        <v>#NAME?</v>
      </c>
      <c r="AP16" t="e">
        <f t="shared" ca="1" si="8"/>
        <v>#NAME?</v>
      </c>
    </row>
    <row r="17" spans="2:42" x14ac:dyDescent="0.35">
      <c r="F17">
        <f t="shared" si="0"/>
        <v>25</v>
      </c>
      <c r="G17">
        <f t="shared" si="0"/>
        <v>1</v>
      </c>
      <c r="H17" s="28">
        <f t="shared" si="0"/>
        <v>7</v>
      </c>
      <c r="I17" s="36">
        <f t="shared" si="0"/>
        <v>22</v>
      </c>
      <c r="J17" s="24">
        <f t="shared" si="1"/>
        <v>29</v>
      </c>
      <c r="K17">
        <f t="shared" si="2"/>
        <v>0.2413793103448276</v>
      </c>
      <c r="L17" t="e">
        <f t="shared" ca="1" si="3"/>
        <v>#NAME?</v>
      </c>
      <c r="M17" s="23" t="e">
        <f t="shared" ca="1" si="4"/>
        <v>#NAME?</v>
      </c>
      <c r="N17" s="24" t="e">
        <f t="shared" ca="1" si="5"/>
        <v>#NAME?</v>
      </c>
      <c r="O17" t="e">
        <f t="shared" ca="1" si="11"/>
        <v>#NAME?</v>
      </c>
      <c r="P17" t="e">
        <f t="shared" ca="1" si="9"/>
        <v>#NAME?</v>
      </c>
      <c r="U17" t="s">
        <v>110</v>
      </c>
      <c r="V17" s="31" t="e">
        <f ca="1">-2*V6+2*(V9+1)</f>
        <v>#NAME?</v>
      </c>
      <c r="AI17" t="e">
        <f ca="1"/>
        <v>#NAME?</v>
      </c>
      <c r="AJ17" t="e">
        <f ca="1"/>
        <v>#NAME?</v>
      </c>
      <c r="AK17" t="e">
        <f ca="1"/>
        <v>#NAME?</v>
      </c>
      <c r="AL17" t="e">
        <f t="shared" ca="1" si="12"/>
        <v>#NAME?</v>
      </c>
      <c r="AM17" t="e">
        <f t="shared" ca="1" si="10"/>
        <v>#NAME?</v>
      </c>
      <c r="AN17" t="e">
        <f t="shared" ca="1" si="7"/>
        <v>#NAME?</v>
      </c>
      <c r="AO17" t="e">
        <f t="shared" ca="1" si="7"/>
        <v>#NAME?</v>
      </c>
      <c r="AP17" t="e">
        <f t="shared" ca="1" si="8"/>
        <v>#NAME?</v>
      </c>
    </row>
    <row r="18" spans="2:42" x14ac:dyDescent="0.35">
      <c r="F18" s="37"/>
      <c r="G18" s="37"/>
      <c r="H18" s="37">
        <f>SUM(H6:H17)</f>
        <v>522</v>
      </c>
      <c r="I18" s="37">
        <f>SUM(I6:I17)</f>
        <v>338</v>
      </c>
      <c r="J18" s="37">
        <f>SUM(J6:J17)</f>
        <v>860</v>
      </c>
      <c r="K18" s="37"/>
      <c r="L18" s="37"/>
      <c r="M18" s="37" t="e">
        <f ca="1">SUM(M6:M17)</f>
        <v>#NAME?</v>
      </c>
      <c r="N18" s="37" t="e">
        <f ca="1">SUM(N6:N17)</f>
        <v>#NAME?</v>
      </c>
      <c r="O18" s="37" t="e">
        <f ca="1">SUM(O6:O17)</f>
        <v>#NAME?</v>
      </c>
      <c r="P18" s="37" t="e">
        <f ca="1">SUMPRODUCT(P6:P17,J6:J17)/J18</f>
        <v>#NAME?</v>
      </c>
      <c r="U18" t="s">
        <v>111</v>
      </c>
      <c r="V18" s="27" t="e">
        <f ca="1">-2*V6+(V9+1)*LN(J18)</f>
        <v>#NAME?</v>
      </c>
      <c r="AI18" s="30" t="e">
        <f ca="1"/>
        <v>#NAME?</v>
      </c>
      <c r="AJ18" s="30" t="e">
        <f ca="1"/>
        <v>#NAME?</v>
      </c>
      <c r="AK18" s="30" t="e">
        <f ca="1"/>
        <v>#NAME?</v>
      </c>
      <c r="AL18" s="30" t="e">
        <f t="shared" ca="1" si="12"/>
        <v>#NAME?</v>
      </c>
      <c r="AM18" s="30" t="e">
        <f t="shared" ca="1" si="10"/>
        <v>#NAME?</v>
      </c>
      <c r="AN18" s="30" t="e">
        <f t="shared" ca="1" si="7"/>
        <v>#NAME?</v>
      </c>
      <c r="AO18" s="30" t="e">
        <f t="shared" ca="1" si="7"/>
        <v>#NAME?</v>
      </c>
      <c r="AP18" s="30" t="e">
        <f t="shared" ca="1" si="8"/>
        <v>#NAME?</v>
      </c>
    </row>
    <row r="19" spans="2:42" ht="15" thickBot="1" x14ac:dyDescent="0.4">
      <c r="AP19" t="e">
        <f ca="1">SUM(AP6:AP18)</f>
        <v>#NAME?</v>
      </c>
    </row>
    <row r="20" spans="2:42" ht="15" thickTop="1" x14ac:dyDescent="0.35">
      <c r="F20" s="21"/>
      <c r="G20" s="21" t="s">
        <v>48</v>
      </c>
      <c r="H20" s="21" t="s">
        <v>49</v>
      </c>
      <c r="I20" s="21" t="s">
        <v>50</v>
      </c>
      <c r="J20" s="21" t="s">
        <v>40</v>
      </c>
      <c r="K20" s="21" t="s">
        <v>51</v>
      </c>
      <c r="L20" s="21" t="s">
        <v>52</v>
      </c>
      <c r="M20" s="21" t="s">
        <v>53</v>
      </c>
    </row>
    <row r="21" spans="2:42" x14ac:dyDescent="0.35">
      <c r="F21" t="s">
        <v>54</v>
      </c>
      <c r="G21" t="e">
        <f t="array" ref="G21:G23" ca="1">S7:S9</f>
        <v>#NAME?</v>
      </c>
      <c r="H21" t="e">
        <f t="array" aca="1" ref="H21:H23" ca="1">SQRT(DIAG(X6:Z8))</f>
        <v>#NAME?</v>
      </c>
      <c r="I21" t="e">
        <f ca="1">(G21/H21)^2</f>
        <v>#NAME?</v>
      </c>
      <c r="J21" t="e">
        <f ca="1">CHIDIST(I21,1)</f>
        <v>#NAME?</v>
      </c>
      <c r="K21" t="e">
        <f ca="1">EXP(G21)</f>
        <v>#NAME?</v>
      </c>
    </row>
    <row r="22" spans="2:42" x14ac:dyDescent="0.35">
      <c r="F22" t="str">
        <f t="array" ref="F22:F23">TRANSPOSE(F5:G5)</f>
        <v>Temp</v>
      </c>
      <c r="G22" t="e">
        <f ca="1"/>
        <v>#NAME?</v>
      </c>
      <c r="H22" t="e">
        <f ca="1"/>
        <v>#NAME?</v>
      </c>
      <c r="I22" t="e">
        <f ca="1">(G22/H22)^2</f>
        <v>#NAME?</v>
      </c>
      <c r="J22" t="e">
        <f ca="1">CHIDIST(I22,1)</f>
        <v>#NAME?</v>
      </c>
      <c r="K22" t="e">
        <f ca="1">EXP(G22)</f>
        <v>#NAME?</v>
      </c>
      <c r="L22" t="e">
        <f ca="1">EXP(G22-H22*NORMSINV(1-$V$11/2))</f>
        <v>#NAME?</v>
      </c>
      <c r="M22" t="e">
        <f ca="1">EXP(G22+H22*NORMSINV(1-$V$11/2))</f>
        <v>#NAME?</v>
      </c>
    </row>
    <row r="23" spans="2:42" x14ac:dyDescent="0.35">
      <c r="F23" s="30" t="str">
        <v>Water</v>
      </c>
      <c r="G23" s="30" t="e">
        <f ca="1"/>
        <v>#NAME?</v>
      </c>
      <c r="H23" s="30" t="e">
        <f ca="1"/>
        <v>#NAME?</v>
      </c>
      <c r="I23" s="30" t="e">
        <f ca="1">(G23/H23)^2</f>
        <v>#NAME?</v>
      </c>
      <c r="J23" s="30" t="e">
        <f ca="1">CHIDIST(I23,1)</f>
        <v>#NAME?</v>
      </c>
      <c r="K23" s="30" t="e">
        <f ca="1">EXP(G23)</f>
        <v>#NAME?</v>
      </c>
      <c r="L23" s="30" t="e">
        <f ca="1">EXP(G23-H23*NORMSINV(1-$V$11/2))</f>
        <v>#NAME?</v>
      </c>
      <c r="M23" s="30" t="e">
        <f ca="1">EXP(G23+H23*NORMSINV(1-$V$11/2))</f>
        <v>#NAME?</v>
      </c>
    </row>
    <row r="26" spans="2:42" x14ac:dyDescent="0.35">
      <c r="B26" s="1" t="s">
        <v>85</v>
      </c>
      <c r="F26" t="s">
        <v>17</v>
      </c>
      <c r="AB26" t="s">
        <v>18</v>
      </c>
      <c r="AG26" t="s">
        <v>19</v>
      </c>
    </row>
    <row r="27" spans="2:42" ht="15" thickBot="1" x14ac:dyDescent="0.4"/>
    <row r="28" spans="2:42" ht="15" thickTop="1" x14ac:dyDescent="0.35">
      <c r="B28" s="51" t="s">
        <v>69</v>
      </c>
      <c r="C28" s="51" t="s">
        <v>71</v>
      </c>
      <c r="D28" s="51" t="s">
        <v>74</v>
      </c>
      <c r="F28" s="52" t="str">
        <f>B28</f>
        <v>Temp</v>
      </c>
      <c r="G28" s="52" t="str">
        <f t="shared" ref="G28:H34" si="13">C28</f>
        <v>Male</v>
      </c>
      <c r="H28" s="52" t="str">
        <f t="shared" si="13"/>
        <v>Female</v>
      </c>
      <c r="I28" s="52" t="s">
        <v>20</v>
      </c>
      <c r="J28" s="52" t="s">
        <v>21</v>
      </c>
      <c r="K28" s="52" t="s">
        <v>22</v>
      </c>
      <c r="L28" s="52" t="s">
        <v>23</v>
      </c>
      <c r="M28" s="52" t="s">
        <v>24</v>
      </c>
      <c r="N28" s="52" t="s">
        <v>12</v>
      </c>
      <c r="O28" s="52" t="s">
        <v>25</v>
      </c>
      <c r="R28" t="s">
        <v>13</v>
      </c>
      <c r="T28" t="s">
        <v>26</v>
      </c>
      <c r="U28" s="22">
        <f>G35*LN(G35/I35)+H35*LN(H35/I35)</f>
        <v>-576.26986120489823</v>
      </c>
      <c r="W28" t="s">
        <v>14</v>
      </c>
      <c r="Z28" t="s">
        <v>27</v>
      </c>
      <c r="AC28" s="3" t="s">
        <v>28</v>
      </c>
      <c r="AD28" s="3" t="s">
        <v>29</v>
      </c>
      <c r="AG28" s="21" t="s">
        <v>22</v>
      </c>
      <c r="AH28" s="21" t="s">
        <v>30</v>
      </c>
      <c r="AI28" s="21" t="s">
        <v>31</v>
      </c>
      <c r="AJ28" s="21" t="s">
        <v>32</v>
      </c>
      <c r="AK28" s="21" t="s">
        <v>33</v>
      </c>
      <c r="AL28" s="21" t="s">
        <v>34</v>
      </c>
      <c r="AM28" s="21" t="s">
        <v>35</v>
      </c>
      <c r="AN28" s="21" t="s">
        <v>36</v>
      </c>
    </row>
    <row r="29" spans="2:42" x14ac:dyDescent="0.35">
      <c r="B29" s="50">
        <v>20</v>
      </c>
      <c r="C29" s="50">
        <f t="shared" ref="C29:D34" si="14">SUMIF($A$4:$A$15,$B29,C$4:C$15)</f>
        <v>39</v>
      </c>
      <c r="D29" s="50">
        <f t="shared" si="14"/>
        <v>4</v>
      </c>
      <c r="F29">
        <f t="shared" ref="F29:F34" si="15">B29</f>
        <v>20</v>
      </c>
      <c r="G29" s="23">
        <f t="shared" si="13"/>
        <v>39</v>
      </c>
      <c r="H29">
        <f t="shared" si="13"/>
        <v>4</v>
      </c>
      <c r="I29" s="24">
        <f>G29+H29</f>
        <v>43</v>
      </c>
      <c r="J29">
        <f>IF(I29=0,"",G29/I29)</f>
        <v>0.90697674418604646</v>
      </c>
      <c r="K29" t="e">
        <f ca="1">1/(1+EXP(-$R$30-$R$31*F29))</f>
        <v>#NAME?</v>
      </c>
      <c r="L29" s="25" t="e">
        <f ca="1">I29*K29</f>
        <v>#NAME?</v>
      </c>
      <c r="M29" s="26" t="e">
        <f ca="1">I29-L29</f>
        <v>#NAME?</v>
      </c>
      <c r="N29" s="25">
        <f ca="1">IFERROR(I29*(J29*LN(K29)+(1-J29)*LN(1-K29)),0)</f>
        <v>0</v>
      </c>
      <c r="O29" s="26" t="e">
        <f ca="1">100*IF(K29&gt;=$AC$35,G29/I29,H29/I29)</f>
        <v>#NAME?</v>
      </c>
      <c r="T29" t="s">
        <v>37</v>
      </c>
      <c r="U29" s="27">
        <f ca="1">N35</f>
        <v>0</v>
      </c>
      <c r="W29" s="25" t="e">
        <f t="array" aca="1" ref="W29:X30" ca="1">MINVERSE(MMULT(TRANSPOSE(DEsign(F29:F34)),K29:K34*(1-K29:K34)*I29:I34*DEsign(F29:F34)))</f>
        <v>#NAME?</v>
      </c>
      <c r="X29" s="26" t="e">
        <f ca="1"/>
        <v>#NAME?</v>
      </c>
      <c r="Z29" s="22" t="e">
        <f t="array" aca="1" ref="Z29:Z30" ca="1">MMULT(W29:X30,MMULT(TRANSPOSE(DEsign(F29:F34)),I29:I34*(J29:J34-K29:K34)))</f>
        <v>#NAME?</v>
      </c>
      <c r="AB29" t="s">
        <v>23</v>
      </c>
      <c r="AC29" s="25">
        <f ca="1">SUMIF(K29:K34,"&gt;="&amp;AC35,G29:G34)</f>
        <v>0</v>
      </c>
      <c r="AD29" s="26">
        <f ca="1">SUMIF(K29:K34,"&gt;="&amp;AC35,H29:H34)</f>
        <v>0</v>
      </c>
      <c r="AE29">
        <f ca="1">AC29+AD29</f>
        <v>0</v>
      </c>
      <c r="AJ29">
        <v>0</v>
      </c>
      <c r="AK29">
        <v>0</v>
      </c>
      <c r="AL29" t="e">
        <f ca="1">1-AJ29/AJ$35</f>
        <v>#NAME?</v>
      </c>
      <c r="AM29" t="e">
        <f ca="1">1-AK29/AK$35</f>
        <v>#NAME?</v>
      </c>
      <c r="AN29" t="e">
        <f ca="1">(AL29-AL30)*AM29</f>
        <v>#NAME?</v>
      </c>
    </row>
    <row r="30" spans="2:42" x14ac:dyDescent="0.35">
      <c r="B30" s="50">
        <v>21</v>
      </c>
      <c r="C30" s="50">
        <f t="shared" si="14"/>
        <v>165</v>
      </c>
      <c r="D30" s="50">
        <f t="shared" si="14"/>
        <v>15</v>
      </c>
      <c r="F30">
        <f t="shared" si="15"/>
        <v>21</v>
      </c>
      <c r="G30" s="23">
        <f t="shared" si="13"/>
        <v>165</v>
      </c>
      <c r="H30">
        <f t="shared" si="13"/>
        <v>15</v>
      </c>
      <c r="I30" s="24">
        <f t="shared" ref="I30:I34" si="16">G30+H30</f>
        <v>180</v>
      </c>
      <c r="J30">
        <f t="shared" ref="J30:J34" si="17">IF(I30=0,"",G30/I30)</f>
        <v>0.91666666666666663</v>
      </c>
      <c r="K30" t="e">
        <f t="shared" ref="K30:K34" ca="1" si="18">1/(1+EXP(-$R$30-$R$31*F30))</f>
        <v>#NAME?</v>
      </c>
      <c r="L30" s="23" t="e">
        <f t="shared" ref="L30:L34" ca="1" si="19">I30*K30</f>
        <v>#NAME?</v>
      </c>
      <c r="M30" s="24" t="e">
        <f t="shared" ref="M30:M34" ca="1" si="20">I30-L30</f>
        <v>#NAME?</v>
      </c>
      <c r="N30" s="23">
        <f t="shared" ref="N30:N34" ca="1" si="21">IFERROR(I30*(J30*LN(K30)+(1-J30)*LN(1-K30)),0)</f>
        <v>0</v>
      </c>
      <c r="O30" s="24" t="e">
        <f t="shared" ref="O30:O34" ca="1" si="22">100*IF(K30&gt;=$AC$35,G30/I30,H30/I30)</f>
        <v>#NAME?</v>
      </c>
      <c r="R30" s="22" t="e">
        <f t="array" aca="1" ref="R30:R31" ca="1">LogitCoeff(F29:H34,,,,,20)</f>
        <v>#NAME?</v>
      </c>
      <c r="W30" s="28" t="e">
        <f ca="1"/>
        <v>#NAME?</v>
      </c>
      <c r="X30" s="29" t="e">
        <f ca="1"/>
        <v>#NAME?</v>
      </c>
      <c r="Z30" s="27" t="e">
        <f ca="1"/>
        <v>#NAME?</v>
      </c>
      <c r="AB30" t="s">
        <v>24</v>
      </c>
      <c r="AC30" s="28">
        <f ca="1">AC31-AC29</f>
        <v>522</v>
      </c>
      <c r="AD30" s="29">
        <f ca="1">AD31-AD29</f>
        <v>338</v>
      </c>
      <c r="AE30">
        <f ca="1">AC30+AD30</f>
        <v>860</v>
      </c>
      <c r="AG30" t="e">
        <f t="array" aca="1" ref="AG30:AI35" ca="1">SelectCols(G29:K34,"5,2,1",1)</f>
        <v>#NAME?</v>
      </c>
      <c r="AH30" t="e">
        <f ca="1"/>
        <v>#NAME?</v>
      </c>
      <c r="AI30" t="e">
        <f ca="1"/>
        <v>#NAME?</v>
      </c>
      <c r="AJ30" t="e">
        <f t="shared" ref="AJ30:AK35" ca="1" si="23">AJ29+AH30</f>
        <v>#NAME?</v>
      </c>
      <c r="AK30" t="e">
        <f t="shared" ca="1" si="23"/>
        <v>#NAME?</v>
      </c>
      <c r="AL30" t="e">
        <f t="shared" ref="AL30:AM35" ca="1" si="24">1-AJ30/AJ$35</f>
        <v>#NAME?</v>
      </c>
      <c r="AM30" t="e">
        <f t="shared" ca="1" si="24"/>
        <v>#NAME?</v>
      </c>
      <c r="AN30" t="e">
        <f t="shared" ref="AN30:AN35" ca="1" si="25">(AL30-AL31)*AM30</f>
        <v>#NAME?</v>
      </c>
    </row>
    <row r="31" spans="2:42" x14ac:dyDescent="0.35">
      <c r="B31" s="50">
        <v>22</v>
      </c>
      <c r="C31" s="50">
        <f t="shared" si="14"/>
        <v>159</v>
      </c>
      <c r="D31" s="50">
        <f t="shared" si="14"/>
        <v>44</v>
      </c>
      <c r="F31">
        <f t="shared" si="15"/>
        <v>22</v>
      </c>
      <c r="G31" s="23">
        <f t="shared" si="13"/>
        <v>159</v>
      </c>
      <c r="H31">
        <f t="shared" si="13"/>
        <v>44</v>
      </c>
      <c r="I31" s="24">
        <f t="shared" si="16"/>
        <v>203</v>
      </c>
      <c r="J31">
        <f t="shared" si="17"/>
        <v>0.78325123152709364</v>
      </c>
      <c r="K31" t="e">
        <f t="shared" ca="1" si="18"/>
        <v>#NAME?</v>
      </c>
      <c r="L31" s="23" t="e">
        <f t="shared" ca="1" si="19"/>
        <v>#NAME?</v>
      </c>
      <c r="M31" s="24" t="e">
        <f t="shared" ca="1" si="20"/>
        <v>#NAME?</v>
      </c>
      <c r="N31" s="23">
        <f t="shared" ca="1" si="21"/>
        <v>0</v>
      </c>
      <c r="O31" s="24" t="e">
        <f t="shared" ca="1" si="22"/>
        <v>#NAME?</v>
      </c>
      <c r="R31" s="27" t="e">
        <f ca="1"/>
        <v>#NAME?</v>
      </c>
      <c r="T31" t="s">
        <v>38</v>
      </c>
      <c r="U31" s="22">
        <f ca="1">2*(U29-U28)</f>
        <v>1152.5397224097965</v>
      </c>
      <c r="AC31">
        <f>G35</f>
        <v>522</v>
      </c>
      <c r="AD31">
        <f>H35</f>
        <v>338</v>
      </c>
      <c r="AE31">
        <f>AC31+AD31</f>
        <v>860</v>
      </c>
      <c r="AG31" t="e">
        <f ca="1"/>
        <v>#NAME?</v>
      </c>
      <c r="AH31" t="e">
        <f ca="1"/>
        <v>#NAME?</v>
      </c>
      <c r="AI31" t="e">
        <f ca="1"/>
        <v>#NAME?</v>
      </c>
      <c r="AJ31" t="e">
        <f t="shared" ca="1" si="23"/>
        <v>#NAME?</v>
      </c>
      <c r="AK31" t="e">
        <f t="shared" ca="1" si="23"/>
        <v>#NAME?</v>
      </c>
      <c r="AL31" t="e">
        <f t="shared" ca="1" si="24"/>
        <v>#NAME?</v>
      </c>
      <c r="AM31" t="e">
        <f t="shared" ca="1" si="24"/>
        <v>#NAME?</v>
      </c>
      <c r="AN31" t="e">
        <f t="shared" ca="1" si="25"/>
        <v>#NAME?</v>
      </c>
    </row>
    <row r="32" spans="2:42" x14ac:dyDescent="0.35">
      <c r="B32" s="50">
        <v>23</v>
      </c>
      <c r="C32" s="50">
        <f t="shared" si="14"/>
        <v>120</v>
      </c>
      <c r="D32" s="50">
        <f t="shared" si="14"/>
        <v>138</v>
      </c>
      <c r="F32">
        <f t="shared" si="15"/>
        <v>23</v>
      </c>
      <c r="G32" s="23">
        <f t="shared" si="13"/>
        <v>120</v>
      </c>
      <c r="H32">
        <f t="shared" si="13"/>
        <v>138</v>
      </c>
      <c r="I32" s="24">
        <f t="shared" si="16"/>
        <v>258</v>
      </c>
      <c r="J32">
        <f t="shared" si="17"/>
        <v>0.46511627906976744</v>
      </c>
      <c r="K32" t="e">
        <f t="shared" ca="1" si="18"/>
        <v>#NAME?</v>
      </c>
      <c r="L32" s="23" t="e">
        <f t="shared" ca="1" si="19"/>
        <v>#NAME?</v>
      </c>
      <c r="M32" s="24" t="e">
        <f t="shared" ca="1" si="20"/>
        <v>#NAME?</v>
      </c>
      <c r="N32" s="23">
        <f t="shared" ca="1" si="21"/>
        <v>0</v>
      </c>
      <c r="O32" s="24" t="e">
        <f t="shared" ca="1" si="22"/>
        <v>#NAME?</v>
      </c>
      <c r="T32" t="s">
        <v>39</v>
      </c>
      <c r="U32" s="31">
        <f>COUNT(F29)</f>
        <v>1</v>
      </c>
      <c r="AG32" t="e">
        <f ca="1"/>
        <v>#NAME?</v>
      </c>
      <c r="AH32" t="e">
        <f ca="1"/>
        <v>#NAME?</v>
      </c>
      <c r="AI32" t="e">
        <f ca="1"/>
        <v>#NAME?</v>
      </c>
      <c r="AJ32" t="e">
        <f t="shared" ca="1" si="23"/>
        <v>#NAME?</v>
      </c>
      <c r="AK32" t="e">
        <f t="shared" ca="1" si="23"/>
        <v>#NAME?</v>
      </c>
      <c r="AL32" t="e">
        <f t="shared" ca="1" si="24"/>
        <v>#NAME?</v>
      </c>
      <c r="AM32" t="e">
        <f t="shared" ca="1" si="24"/>
        <v>#NAME?</v>
      </c>
      <c r="AN32" t="e">
        <f t="shared" ca="1" si="25"/>
        <v>#NAME?</v>
      </c>
    </row>
    <row r="33" spans="2:40" x14ac:dyDescent="0.35">
      <c r="B33" s="50">
        <v>24</v>
      </c>
      <c r="C33" s="50">
        <f t="shared" si="14"/>
        <v>28</v>
      </c>
      <c r="D33" s="50">
        <f t="shared" si="14"/>
        <v>87</v>
      </c>
      <c r="F33">
        <f t="shared" si="15"/>
        <v>24</v>
      </c>
      <c r="G33" s="23">
        <f t="shared" si="13"/>
        <v>28</v>
      </c>
      <c r="H33">
        <f t="shared" si="13"/>
        <v>87</v>
      </c>
      <c r="I33" s="24">
        <f t="shared" si="16"/>
        <v>115</v>
      </c>
      <c r="J33">
        <f t="shared" si="17"/>
        <v>0.24347826086956523</v>
      </c>
      <c r="K33" t="e">
        <f t="shared" ca="1" si="18"/>
        <v>#NAME?</v>
      </c>
      <c r="L33" s="23" t="e">
        <f t="shared" ca="1" si="19"/>
        <v>#NAME?</v>
      </c>
      <c r="M33" s="24" t="e">
        <f t="shared" ca="1" si="20"/>
        <v>#NAME?</v>
      </c>
      <c r="N33" s="23">
        <f t="shared" ca="1" si="21"/>
        <v>0</v>
      </c>
      <c r="O33" s="24" t="e">
        <f t="shared" ca="1" si="22"/>
        <v>#NAME?</v>
      </c>
      <c r="T33" t="s">
        <v>40</v>
      </c>
      <c r="U33" s="31">
        <f ca="1">CHIDIST(U31,U32)</f>
        <v>1.2586799104651677E-252</v>
      </c>
      <c r="AB33" t="s">
        <v>41</v>
      </c>
      <c r="AC33" s="32">
        <f ca="1">AC29/AC31</f>
        <v>0</v>
      </c>
      <c r="AD33" s="33">
        <f ca="1">AD30/AD31</f>
        <v>1</v>
      </c>
      <c r="AE33">
        <f ca="1">(AC29+AD30)/AE31</f>
        <v>0.39302325581395348</v>
      </c>
      <c r="AG33" t="e">
        <f ca="1"/>
        <v>#NAME?</v>
      </c>
      <c r="AH33" t="e">
        <f ca="1"/>
        <v>#NAME?</v>
      </c>
      <c r="AI33" t="e">
        <f ca="1"/>
        <v>#NAME?</v>
      </c>
      <c r="AJ33" t="e">
        <f t="shared" ca="1" si="23"/>
        <v>#NAME?</v>
      </c>
      <c r="AK33" t="e">
        <f t="shared" ca="1" si="23"/>
        <v>#NAME?</v>
      </c>
      <c r="AL33" t="e">
        <f t="shared" ca="1" si="24"/>
        <v>#NAME?</v>
      </c>
      <c r="AM33" t="e">
        <f t="shared" ca="1" si="24"/>
        <v>#NAME?</v>
      </c>
      <c r="AN33" t="e">
        <f t="shared" ca="1" si="25"/>
        <v>#NAME?</v>
      </c>
    </row>
    <row r="34" spans="2:40" x14ac:dyDescent="0.35">
      <c r="B34" s="30">
        <v>25</v>
      </c>
      <c r="C34" s="30">
        <f t="shared" si="14"/>
        <v>11</v>
      </c>
      <c r="D34" s="30">
        <f t="shared" si="14"/>
        <v>50</v>
      </c>
      <c r="F34">
        <f t="shared" si="15"/>
        <v>25</v>
      </c>
      <c r="G34" s="28">
        <f t="shared" si="13"/>
        <v>11</v>
      </c>
      <c r="H34" s="36">
        <f t="shared" si="13"/>
        <v>50</v>
      </c>
      <c r="I34" s="24">
        <f t="shared" si="16"/>
        <v>61</v>
      </c>
      <c r="J34">
        <f t="shared" si="17"/>
        <v>0.18032786885245902</v>
      </c>
      <c r="K34" t="e">
        <f t="shared" ca="1" si="18"/>
        <v>#NAME?</v>
      </c>
      <c r="L34" s="23" t="e">
        <f t="shared" ca="1" si="19"/>
        <v>#NAME?</v>
      </c>
      <c r="M34" s="24" t="e">
        <f t="shared" ca="1" si="20"/>
        <v>#NAME?</v>
      </c>
      <c r="N34" s="23">
        <f t="shared" ca="1" si="21"/>
        <v>0</v>
      </c>
      <c r="O34" s="24" t="e">
        <f t="shared" ca="1" si="22"/>
        <v>#NAME?</v>
      </c>
      <c r="T34" t="s">
        <v>42</v>
      </c>
      <c r="U34" s="31">
        <v>0.05</v>
      </c>
      <c r="AG34" t="e">
        <f ca="1"/>
        <v>#NAME?</v>
      </c>
      <c r="AH34" t="e">
        <f ca="1"/>
        <v>#NAME?</v>
      </c>
      <c r="AI34" t="e">
        <f ca="1"/>
        <v>#NAME?</v>
      </c>
      <c r="AJ34" t="e">
        <f t="shared" ca="1" si="23"/>
        <v>#NAME?</v>
      </c>
      <c r="AK34" t="e">
        <f t="shared" ca="1" si="23"/>
        <v>#NAME?</v>
      </c>
      <c r="AL34" t="e">
        <f t="shared" ca="1" si="24"/>
        <v>#NAME?</v>
      </c>
      <c r="AM34" t="e">
        <f t="shared" ca="1" si="24"/>
        <v>#NAME?</v>
      </c>
      <c r="AN34" t="e">
        <f t="shared" ca="1" si="25"/>
        <v>#NAME?</v>
      </c>
    </row>
    <row r="35" spans="2:40" x14ac:dyDescent="0.35">
      <c r="C35">
        <f>SUM(C29:C34)</f>
        <v>522</v>
      </c>
      <c r="D35">
        <f>SUM(D29:D34)</f>
        <v>338</v>
      </c>
      <c r="F35" s="37"/>
      <c r="G35" s="37">
        <f>SUM(G29:G34)</f>
        <v>522</v>
      </c>
      <c r="H35" s="37">
        <f t="shared" ref="H35:I35" si="26">SUM(H29:H34)</f>
        <v>338</v>
      </c>
      <c r="I35" s="53">
        <f t="shared" si="26"/>
        <v>860</v>
      </c>
      <c r="J35" s="53"/>
      <c r="K35" s="53"/>
      <c r="L35" s="53" t="e">
        <f ca="1">SUM(L29:L34)</f>
        <v>#NAME?</v>
      </c>
      <c r="M35" s="53" t="e">
        <f t="shared" ref="M35:N35" ca="1" si="27">SUM(M29:M34)</f>
        <v>#NAME?</v>
      </c>
      <c r="N35" s="53">
        <f t="shared" ca="1" si="27"/>
        <v>0</v>
      </c>
      <c r="O35" s="53" t="e">
        <f ca="1">SUMPRODUCT(O29:O34,I29:I34)/I35</f>
        <v>#NAME?</v>
      </c>
      <c r="T35" t="s">
        <v>43</v>
      </c>
      <c r="U35" s="34" t="str">
        <f ca="1">IF(U33&lt;U34,"yes","no")</f>
        <v>yes</v>
      </c>
      <c r="W35" t="s">
        <v>86</v>
      </c>
      <c r="AB35" t="s">
        <v>44</v>
      </c>
      <c r="AC35" s="35">
        <v>0.5</v>
      </c>
      <c r="AG35" s="30" t="e">
        <f ca="1"/>
        <v>#NAME?</v>
      </c>
      <c r="AH35" s="30" t="e">
        <f ca="1"/>
        <v>#NAME?</v>
      </c>
      <c r="AI35" s="30" t="e">
        <f ca="1"/>
        <v>#NAME?</v>
      </c>
      <c r="AJ35" s="30" t="e">
        <f t="shared" ca="1" si="23"/>
        <v>#NAME?</v>
      </c>
      <c r="AK35" s="30" t="e">
        <f t="shared" ca="1" si="23"/>
        <v>#NAME?</v>
      </c>
      <c r="AL35" s="30" t="e">
        <f t="shared" ca="1" si="24"/>
        <v>#NAME?</v>
      </c>
      <c r="AM35" s="30" t="e">
        <f t="shared" ca="1" si="24"/>
        <v>#NAME?</v>
      </c>
      <c r="AN35" s="30" t="e">
        <f t="shared" ca="1" si="25"/>
        <v>#NAME?</v>
      </c>
    </row>
    <row r="36" spans="2:40" ht="15" thickBot="1" x14ac:dyDescent="0.4">
      <c r="AN36" t="e">
        <f ca="1">SUM(AN29:AN35)</f>
        <v>#NAME?</v>
      </c>
    </row>
    <row r="37" spans="2:40" ht="15" thickTop="1" x14ac:dyDescent="0.35">
      <c r="B37" s="54" t="e" cm="1">
        <f t="array" aca="1" ref="B37" ca="1">LogitReduce(A3:D15,"Water")</f>
        <v>#NAME?</v>
      </c>
      <c r="C37" s="54"/>
      <c r="D37" s="54"/>
      <c r="F37" s="21"/>
      <c r="G37" s="21" t="s">
        <v>48</v>
      </c>
      <c r="H37" s="21" t="s">
        <v>49</v>
      </c>
      <c r="I37" s="21" t="s">
        <v>50</v>
      </c>
      <c r="J37" s="21" t="s">
        <v>40</v>
      </c>
      <c r="K37" s="21" t="s">
        <v>51</v>
      </c>
      <c r="L37" s="21" t="s">
        <v>52</v>
      </c>
      <c r="M37" s="21" t="s">
        <v>53</v>
      </c>
      <c r="T37" t="s">
        <v>45</v>
      </c>
      <c r="U37" s="14">
        <f ca="1">1-U29/U28</f>
        <v>1</v>
      </c>
      <c r="W37" t="s">
        <v>26</v>
      </c>
      <c r="X37" s="22">
        <f ca="1">U29</f>
        <v>0</v>
      </c>
    </row>
    <row r="38" spans="2:40" x14ac:dyDescent="0.35">
      <c r="F38" t="s">
        <v>54</v>
      </c>
      <c r="G38" t="e">
        <f t="array" ref="G38:G39" ca="1">R30:R31</f>
        <v>#NAME?</v>
      </c>
      <c r="H38" t="e">
        <f t="array" aca="1" ref="H38:H39" ca="1">SQRT(DIAG(W29:X30))</f>
        <v>#NAME?</v>
      </c>
      <c r="I38" t="e">
        <f ca="1">(G38/H38)^2</f>
        <v>#NAME?</v>
      </c>
      <c r="J38" t="e">
        <f ca="1">_xlfn.CHISQ.DIST.RT(I38,1)</f>
        <v>#NAME?</v>
      </c>
      <c r="K38" t="e">
        <f ca="1">EXP(G38)</f>
        <v>#NAME?</v>
      </c>
      <c r="T38" t="s">
        <v>46</v>
      </c>
      <c r="U38" s="44">
        <f ca="1">1-EXP((-2/I35)*(U29-U28))</f>
        <v>0.73819686948475294</v>
      </c>
      <c r="W38" t="s">
        <v>37</v>
      </c>
      <c r="X38" s="27" t="e">
        <f ca="1">V6</f>
        <v>#NAME?</v>
      </c>
    </row>
    <row r="39" spans="2:40" x14ac:dyDescent="0.35">
      <c r="F39" s="30" t="str">
        <f t="array" ref="F39">TRANSPOSE(F28)</f>
        <v>Temp</v>
      </c>
      <c r="G39" s="30" t="e">
        <f ca="1"/>
        <v>#NAME?</v>
      </c>
      <c r="H39" s="30" t="e">
        <f ca="1"/>
        <v>#NAME?</v>
      </c>
      <c r="I39" s="30" t="e">
        <f ca="1">(G39/H39)^2</f>
        <v>#NAME?</v>
      </c>
      <c r="J39" s="30" t="e">
        <f ca="1">_xlfn.CHISQ.DIST.RT(I39,1)</f>
        <v>#NAME?</v>
      </c>
      <c r="K39" s="30" t="e">
        <f ca="1">EXP(G39)</f>
        <v>#NAME?</v>
      </c>
      <c r="L39" s="30" t="e">
        <f ca="1">EXP(G39-H39*_xlfn.NORM.S.INV(1-$U$34/2))</f>
        <v>#NAME?</v>
      </c>
      <c r="M39" s="30" t="e">
        <f ca="1">EXP(G39+H39*_xlfn.NORM.S.INV(1-$U$34/2))</f>
        <v>#NAME?</v>
      </c>
      <c r="T39" t="s">
        <v>47</v>
      </c>
      <c r="U39" s="44">
        <f ca="1">U38/(1-EXP(2*U28/I35))</f>
        <v>1</v>
      </c>
    </row>
    <row r="40" spans="2:40" x14ac:dyDescent="0.35">
      <c r="T40" t="s">
        <v>110</v>
      </c>
      <c r="U40" s="44">
        <f ca="1">-2*U29+2*(U32+1)</f>
        <v>4</v>
      </c>
      <c r="W40" t="s">
        <v>38</v>
      </c>
      <c r="X40" s="22" t="e">
        <f ca="1">2*(X38-X37)</f>
        <v>#NAME?</v>
      </c>
    </row>
    <row r="41" spans="2:40" x14ac:dyDescent="0.35">
      <c r="T41" t="s">
        <v>111</v>
      </c>
      <c r="U41" s="15">
        <f ca="1">-2*U29+(U32+1)*LN(I35)</f>
        <v>13.513864778495106</v>
      </c>
      <c r="W41" t="s">
        <v>39</v>
      </c>
      <c r="X41" s="31">
        <f>V9-U32</f>
        <v>1</v>
      </c>
    </row>
    <row r="42" spans="2:40" x14ac:dyDescent="0.35">
      <c r="W42" t="s">
        <v>40</v>
      </c>
      <c r="X42" s="31" t="e">
        <f ca="1">CHIDIST(X40,X41)</f>
        <v>#NAME?</v>
      </c>
    </row>
    <row r="43" spans="2:40" x14ac:dyDescent="0.35">
      <c r="B43" s="30"/>
      <c r="C43" s="30"/>
      <c r="D43" s="30"/>
      <c r="W43" t="s">
        <v>42</v>
      </c>
      <c r="X43" s="31">
        <v>0.05</v>
      </c>
    </row>
    <row r="44" spans="2:40" x14ac:dyDescent="0.35">
      <c r="W44" t="s">
        <v>43</v>
      </c>
      <c r="X44" s="34" t="e">
        <f ca="1">IF(X42&lt;X43,"yes","no")</f>
        <v>#NAME?</v>
      </c>
    </row>
    <row r="47" spans="2:40" x14ac:dyDescent="0.35">
      <c r="B47" s="1" t="s">
        <v>87</v>
      </c>
      <c r="F47" t="s">
        <v>17</v>
      </c>
      <c r="AB47" t="s">
        <v>18</v>
      </c>
      <c r="AG47" t="s">
        <v>19</v>
      </c>
    </row>
    <row r="48" spans="2:40" ht="15" thickBot="1" x14ac:dyDescent="0.4"/>
    <row r="49" spans="2:40" ht="15" thickTop="1" x14ac:dyDescent="0.35">
      <c r="B49" s="54" t="s">
        <v>70</v>
      </c>
      <c r="C49" s="54" t="s">
        <v>71</v>
      </c>
      <c r="D49" s="54" t="s">
        <v>74</v>
      </c>
      <c r="F49" s="21" t="str">
        <f>B49</f>
        <v>Water</v>
      </c>
      <c r="G49" s="21" t="str">
        <f t="shared" ref="G49:H51" si="28">C49</f>
        <v>Male</v>
      </c>
      <c r="H49" s="21" t="str">
        <f t="shared" si="28"/>
        <v>Female</v>
      </c>
      <c r="I49" s="21" t="s">
        <v>20</v>
      </c>
      <c r="J49" s="21" t="s">
        <v>21</v>
      </c>
      <c r="K49" s="21" t="s">
        <v>22</v>
      </c>
      <c r="L49" s="21" t="s">
        <v>23</v>
      </c>
      <c r="M49" s="21" t="s">
        <v>24</v>
      </c>
      <c r="N49" s="21" t="s">
        <v>12</v>
      </c>
      <c r="O49" s="21" t="s">
        <v>25</v>
      </c>
      <c r="R49" t="s">
        <v>13</v>
      </c>
      <c r="T49" t="s">
        <v>26</v>
      </c>
      <c r="U49" s="22">
        <f>G52*LN(G52/I52)+H52*LN(H52/I52)</f>
        <v>-576.26986120489823</v>
      </c>
      <c r="W49" t="s">
        <v>14</v>
      </c>
      <c r="Z49" t="s">
        <v>27</v>
      </c>
      <c r="AC49" s="3" t="s">
        <v>28</v>
      </c>
      <c r="AD49" s="3" t="s">
        <v>29</v>
      </c>
      <c r="AG49" s="21" t="s">
        <v>22</v>
      </c>
      <c r="AH49" s="21" t="s">
        <v>30</v>
      </c>
      <c r="AI49" s="21" t="s">
        <v>31</v>
      </c>
      <c r="AJ49" s="21" t="s">
        <v>32</v>
      </c>
      <c r="AK49" s="21" t="s">
        <v>33</v>
      </c>
      <c r="AL49" s="21" t="s">
        <v>34</v>
      </c>
      <c r="AM49" s="21" t="s">
        <v>35</v>
      </c>
      <c r="AN49" s="21" t="s">
        <v>36</v>
      </c>
    </row>
    <row r="50" spans="2:40" x14ac:dyDescent="0.35">
      <c r="B50" s="50">
        <v>0</v>
      </c>
      <c r="C50" s="50">
        <f>SUMIF($B$4:$B$15,$B50,C$4:C$15)</f>
        <v>278</v>
      </c>
      <c r="D50" s="50">
        <f>SUMIF($B$4:$B$15,$B50,D$4:D$15)</f>
        <v>171</v>
      </c>
      <c r="F50">
        <f>B50</f>
        <v>0</v>
      </c>
      <c r="G50">
        <f t="shared" si="28"/>
        <v>278</v>
      </c>
      <c r="H50">
        <f t="shared" si="28"/>
        <v>171</v>
      </c>
      <c r="I50" s="24">
        <f>G50+H50</f>
        <v>449</v>
      </c>
      <c r="J50">
        <f>G50/I50</f>
        <v>0.61915367483296213</v>
      </c>
      <c r="K50" t="e">
        <f ca="1">1/(1+EXP(-$R$51-$R$52*F50))</f>
        <v>#NAME?</v>
      </c>
      <c r="L50" s="25" t="e">
        <f ca="1">I50*K50</f>
        <v>#NAME?</v>
      </c>
      <c r="M50" s="26" t="e">
        <f ca="1">I50-L50</f>
        <v>#NAME?</v>
      </c>
      <c r="N50" t="e">
        <f ca="1">I50*(J50*LN(K50)+(1-J50)*LN(1-K50))</f>
        <v>#NAME?</v>
      </c>
      <c r="O50" t="e">
        <f ca="1">100*IF(K50&gt;=$AC$56,G50/I50,H50/I50)</f>
        <v>#NAME?</v>
      </c>
      <c r="T50" t="s">
        <v>37</v>
      </c>
      <c r="U50" s="27" t="e">
        <f ca="1">N52</f>
        <v>#NAME?</v>
      </c>
      <c r="W50" s="25" t="e">
        <f t="array" aca="1" ref="W50:X51" ca="1">MINVERSE(MMULT(TRANSPOSE(DEsign(F50:F51)),K50:K51*(1-K50:K51)*I50:I51*DEsign(F50:F51)))</f>
        <v>#NAME?</v>
      </c>
      <c r="X50" s="26" t="e">
        <f ca="1"/>
        <v>#NAME?</v>
      </c>
      <c r="Z50" s="22" t="e">
        <f t="array" aca="1" ref="Z50:Z51" ca="1">MMULT(W50:X51,MMULT(TRANSPOSE(DEsign(F50:F51)),I50:I51*(J50:J51-K50:K51)))</f>
        <v>#NAME?</v>
      </c>
      <c r="AB50" t="s">
        <v>23</v>
      </c>
      <c r="AC50" s="25">
        <f ca="1">SUMIF(K50:K51,"&gt;="&amp;AC56,G50:G51)</f>
        <v>0</v>
      </c>
      <c r="AD50" s="26">
        <f ca="1">SUMIF(K50:K51,"&gt;="&amp;AC56,H50:H51)</f>
        <v>0</v>
      </c>
      <c r="AE50">
        <f ca="1">AC50+AD50</f>
        <v>0</v>
      </c>
      <c r="AJ50">
        <v>0</v>
      </c>
      <c r="AK50">
        <v>0</v>
      </c>
      <c r="AL50" t="e">
        <f t="shared" ref="AL50:AM52" ca="1" si="29">1-AJ50/AJ$52</f>
        <v>#NAME?</v>
      </c>
      <c r="AM50" t="e">
        <f t="shared" ca="1" si="29"/>
        <v>#NAME?</v>
      </c>
      <c r="AN50" t="e">
        <f ca="1">(AL50-AL51)*AM50</f>
        <v>#NAME?</v>
      </c>
    </row>
    <row r="51" spans="2:40" x14ac:dyDescent="0.35">
      <c r="B51" s="30">
        <v>1</v>
      </c>
      <c r="C51" s="30">
        <f>SUMIF($B$4:$B$15,$B51,C$4:C$15)</f>
        <v>244</v>
      </c>
      <c r="D51" s="30">
        <f>SUMIF($B$4:$B$15,$B51,D$4:D$15)</f>
        <v>167</v>
      </c>
      <c r="F51">
        <f>B51</f>
        <v>1</v>
      </c>
      <c r="G51">
        <f t="shared" si="28"/>
        <v>244</v>
      </c>
      <c r="H51">
        <f t="shared" si="28"/>
        <v>167</v>
      </c>
      <c r="I51" s="24">
        <f>G51+H51</f>
        <v>411</v>
      </c>
      <c r="J51">
        <f>G51/I51</f>
        <v>0.59367396593673971</v>
      </c>
      <c r="K51" t="e">
        <f ca="1">1/(1+EXP(-$R$51-$R$52*F51))</f>
        <v>#NAME?</v>
      </c>
      <c r="L51" s="23" t="e">
        <f ca="1">I51*K51</f>
        <v>#NAME?</v>
      </c>
      <c r="M51" s="24" t="e">
        <f ca="1">I51-L51</f>
        <v>#NAME?</v>
      </c>
      <c r="N51" t="e">
        <f ca="1">I51*(J51*LN(K51)+(1-J51)*LN(1-K51))</f>
        <v>#NAME?</v>
      </c>
      <c r="O51" t="e">
        <f ca="1">100*IF(K51&gt;=$AC$56,G51/I51,H51/I51)</f>
        <v>#NAME?</v>
      </c>
      <c r="R51" s="22" t="e">
        <f t="array" aca="1" ref="R51:R52" ca="1">LogitCoeff(F50:H51,,,,,20)</f>
        <v>#NAME?</v>
      </c>
      <c r="W51" s="28" t="e">
        <f ca="1"/>
        <v>#NAME?</v>
      </c>
      <c r="X51" s="29" t="e">
        <f ca="1"/>
        <v>#NAME?</v>
      </c>
      <c r="Z51" s="27" t="e">
        <f ca="1"/>
        <v>#NAME?</v>
      </c>
      <c r="AB51" t="s">
        <v>24</v>
      </c>
      <c r="AC51" s="28">
        <f ca="1">AC52-AC50</f>
        <v>522</v>
      </c>
      <c r="AD51" s="29">
        <f ca="1">AD52-AD50</f>
        <v>338</v>
      </c>
      <c r="AE51">
        <f ca="1">AC51+AD51</f>
        <v>860</v>
      </c>
      <c r="AG51" t="e">
        <f t="array" aca="1" ref="AG51:AI52" ca="1">SelectCols(G50:K51,"5,2,1",1)</f>
        <v>#NAME?</v>
      </c>
      <c r="AH51" t="e">
        <f ca="1"/>
        <v>#NAME?</v>
      </c>
      <c r="AI51" t="e">
        <f ca="1"/>
        <v>#NAME?</v>
      </c>
      <c r="AJ51" t="e">
        <f ca="1">AJ50+AH51</f>
        <v>#NAME?</v>
      </c>
      <c r="AK51" t="e">
        <f ca="1">AK50+AI51</f>
        <v>#NAME?</v>
      </c>
      <c r="AL51" t="e">
        <f t="shared" ca="1" si="29"/>
        <v>#NAME?</v>
      </c>
      <c r="AM51" t="e">
        <f t="shared" ca="1" si="29"/>
        <v>#NAME?</v>
      </c>
      <c r="AN51" t="e">
        <f ca="1">(AL51-AL52)*AM51</f>
        <v>#NAME?</v>
      </c>
    </row>
    <row r="52" spans="2:40" x14ac:dyDescent="0.35">
      <c r="C52">
        <f>SUM(C50:C51)</f>
        <v>522</v>
      </c>
      <c r="D52">
        <f>SUM(D50:D51)</f>
        <v>338</v>
      </c>
      <c r="F52" s="37"/>
      <c r="G52" s="37">
        <f>SUM(G50:G51)</f>
        <v>522</v>
      </c>
      <c r="H52" s="37">
        <f>SUM(H50:H51)</f>
        <v>338</v>
      </c>
      <c r="I52" s="37">
        <f>SUM(I50:I51)</f>
        <v>860</v>
      </c>
      <c r="J52" s="37"/>
      <c r="K52" s="37"/>
      <c r="L52" s="37" t="e">
        <f ca="1">SUM(L50:L51)</f>
        <v>#NAME?</v>
      </c>
      <c r="M52" s="37" t="e">
        <f ca="1">SUM(M50:M51)</f>
        <v>#NAME?</v>
      </c>
      <c r="N52" s="37" t="e">
        <f ca="1">SUM(N50:N51)</f>
        <v>#NAME?</v>
      </c>
      <c r="O52" s="37" t="e">
        <f ca="1">SUMPRODUCT(O50:O51,I50:I51)/I52</f>
        <v>#NAME?</v>
      </c>
      <c r="R52" s="27" t="e">
        <f ca="1"/>
        <v>#NAME?</v>
      </c>
      <c r="T52" t="s">
        <v>38</v>
      </c>
      <c r="U52" s="22" t="e">
        <f ca="1">2*(U50-U49)</f>
        <v>#NAME?</v>
      </c>
      <c r="AC52">
        <f>G52</f>
        <v>522</v>
      </c>
      <c r="AD52">
        <f>H52</f>
        <v>338</v>
      </c>
      <c r="AE52">
        <f>AC52+AD52</f>
        <v>860</v>
      </c>
      <c r="AG52" s="30" t="e">
        <f ca="1"/>
        <v>#NAME?</v>
      </c>
      <c r="AH52" s="30" t="e">
        <f ca="1"/>
        <v>#NAME?</v>
      </c>
      <c r="AI52" s="30" t="e">
        <f ca="1"/>
        <v>#NAME?</v>
      </c>
      <c r="AJ52" s="30" t="e">
        <f ca="1">AJ51+AH52</f>
        <v>#NAME?</v>
      </c>
      <c r="AK52" s="30" t="e">
        <f ca="1">AK51+AI52</f>
        <v>#NAME?</v>
      </c>
      <c r="AL52" s="30" t="e">
        <f t="shared" ca="1" si="29"/>
        <v>#NAME?</v>
      </c>
      <c r="AM52" s="30" t="e">
        <f t="shared" ca="1" si="29"/>
        <v>#NAME?</v>
      </c>
      <c r="AN52" s="30" t="e">
        <f ca="1">(AL52-AL53)*AM52</f>
        <v>#NAME?</v>
      </c>
    </row>
    <row r="53" spans="2:40" ht="15" thickBot="1" x14ac:dyDescent="0.4">
      <c r="T53" t="s">
        <v>39</v>
      </c>
      <c r="U53" s="31">
        <f>COUNT(F50)</f>
        <v>1</v>
      </c>
      <c r="AN53" t="e">
        <f ca="1">SUM(AN50:AN52)</f>
        <v>#NAME?</v>
      </c>
    </row>
    <row r="54" spans="2:40" ht="15" thickTop="1" x14ac:dyDescent="0.35">
      <c r="B54" s="54" t="e" cm="1">
        <f t="array" aca="1" ref="B54" ca="1">LogitReduce(A3:D15,"Temp")</f>
        <v>#NAME?</v>
      </c>
      <c r="C54" s="54"/>
      <c r="D54" s="54"/>
      <c r="F54" s="21"/>
      <c r="G54" s="21" t="s">
        <v>48</v>
      </c>
      <c r="H54" s="21" t="s">
        <v>49</v>
      </c>
      <c r="I54" s="21" t="s">
        <v>50</v>
      </c>
      <c r="J54" s="21" t="s">
        <v>40</v>
      </c>
      <c r="K54" s="21" t="s">
        <v>51</v>
      </c>
      <c r="L54" s="21" t="s">
        <v>52</v>
      </c>
      <c r="M54" s="21" t="s">
        <v>53</v>
      </c>
      <c r="T54" t="s">
        <v>40</v>
      </c>
      <c r="U54" s="31" t="e">
        <f ca="1">CHIDIST(U52,U53)</f>
        <v>#NAME?</v>
      </c>
      <c r="AB54" t="s">
        <v>41</v>
      </c>
      <c r="AC54" s="32">
        <f ca="1">AC50/AC52</f>
        <v>0</v>
      </c>
      <c r="AD54" s="33">
        <f ca="1">AD51/AD52</f>
        <v>1</v>
      </c>
      <c r="AE54">
        <f ca="1">(AC50+AD51)/AE52</f>
        <v>0.39302325581395348</v>
      </c>
    </row>
    <row r="55" spans="2:40" x14ac:dyDescent="0.35">
      <c r="F55" t="s">
        <v>54</v>
      </c>
      <c r="G55" t="e">
        <f t="array" ref="G55:G56" ca="1">R51:R52</f>
        <v>#NAME?</v>
      </c>
      <c r="H55" t="e">
        <f t="array" aca="1" ref="H55:H56" ca="1">SQRT(DIAG(W50:X51))</f>
        <v>#NAME?</v>
      </c>
      <c r="I55" t="e">
        <f ca="1">(G55/H55)^2</f>
        <v>#NAME?</v>
      </c>
      <c r="J55" t="e">
        <f ca="1">CHIDIST(I55,1)</f>
        <v>#NAME?</v>
      </c>
      <c r="K55" t="e">
        <f ca="1">EXP(G55)</f>
        <v>#NAME?</v>
      </c>
      <c r="T55" t="s">
        <v>42</v>
      </c>
      <c r="U55" s="31">
        <v>0.05</v>
      </c>
    </row>
    <row r="56" spans="2:40" x14ac:dyDescent="0.35">
      <c r="B56" s="30"/>
      <c r="C56" s="30"/>
      <c r="D56" s="30"/>
      <c r="F56" s="30" t="str">
        <f t="array" ref="F56">TRANSPOSE(F49)</f>
        <v>Water</v>
      </c>
      <c r="G56" s="30" t="e">
        <f ca="1"/>
        <v>#NAME?</v>
      </c>
      <c r="H56" s="30" t="e">
        <f ca="1"/>
        <v>#NAME?</v>
      </c>
      <c r="I56" s="30" t="e">
        <f ca="1">(G56/H56)^2</f>
        <v>#NAME?</v>
      </c>
      <c r="J56" s="30" t="e">
        <f ca="1">CHIDIST(I56,1)</f>
        <v>#NAME?</v>
      </c>
      <c r="K56" s="30" t="e">
        <f ca="1">EXP(G56)</f>
        <v>#NAME?</v>
      </c>
      <c r="L56" s="30" t="e">
        <f ca="1">EXP(G56-H56*NORMSINV(1-$U$55/2))</f>
        <v>#NAME?</v>
      </c>
      <c r="M56" s="30" t="e">
        <f ca="1">EXP(G56+H56*NORMSINV(1-$U$55/2))</f>
        <v>#NAME?</v>
      </c>
      <c r="T56" t="s">
        <v>43</v>
      </c>
      <c r="U56" s="34" t="e">
        <f ca="1">IF(U54&lt;U55,"yes","no")</f>
        <v>#NAME?</v>
      </c>
      <c r="W56" t="s">
        <v>86</v>
      </c>
      <c r="AB56" t="s">
        <v>44</v>
      </c>
      <c r="AC56" s="35">
        <v>0.5</v>
      </c>
    </row>
    <row r="58" spans="2:40" x14ac:dyDescent="0.35">
      <c r="T58" t="s">
        <v>45</v>
      </c>
      <c r="U58" s="14" t="e">
        <f ca="1">1-U50/U49</f>
        <v>#NAME?</v>
      </c>
      <c r="W58" t="s">
        <v>26</v>
      </c>
      <c r="X58" s="22" t="e">
        <f ca="1">U50</f>
        <v>#NAME?</v>
      </c>
    </row>
    <row r="59" spans="2:40" x14ac:dyDescent="0.35">
      <c r="T59" t="s">
        <v>46</v>
      </c>
      <c r="U59" s="44" t="e">
        <f ca="1">1-EXP((-2/I52)*(U50-U49))</f>
        <v>#NAME?</v>
      </c>
      <c r="W59" t="s">
        <v>37</v>
      </c>
      <c r="X59" s="27" t="e">
        <f ca="1">V6</f>
        <v>#NAME?</v>
      </c>
    </row>
    <row r="60" spans="2:40" x14ac:dyDescent="0.35">
      <c r="T60" t="s">
        <v>47</v>
      </c>
      <c r="U60" s="44" t="e">
        <f ca="1">U59/(1-EXP(2*U49/I52))</f>
        <v>#NAME?</v>
      </c>
    </row>
    <row r="61" spans="2:40" x14ac:dyDescent="0.35">
      <c r="T61" t="s">
        <v>110</v>
      </c>
      <c r="U61" s="44" t="e">
        <f ca="1">-2*U50+2*(U53+1)</f>
        <v>#NAME?</v>
      </c>
      <c r="W61" t="s">
        <v>38</v>
      </c>
      <c r="X61" s="22" t="e">
        <f ca="1">2*(X59-X58)</f>
        <v>#NAME?</v>
      </c>
    </row>
    <row r="62" spans="2:40" x14ac:dyDescent="0.35">
      <c r="T62" t="s">
        <v>111</v>
      </c>
      <c r="U62" s="15" t="e">
        <f ca="1">-2*U50+(U53+1)*LN(I52)</f>
        <v>#NAME?</v>
      </c>
      <c r="W62" t="s">
        <v>39</v>
      </c>
      <c r="X62" s="31">
        <f>V9-U53</f>
        <v>1</v>
      </c>
    </row>
    <row r="63" spans="2:40" x14ac:dyDescent="0.35">
      <c r="W63" t="s">
        <v>40</v>
      </c>
      <c r="X63" s="31" t="e">
        <f ca="1">CHIDIST(X61,X62)</f>
        <v>#NAME?</v>
      </c>
    </row>
    <row r="64" spans="2:40" x14ac:dyDescent="0.35">
      <c r="W64" t="s">
        <v>42</v>
      </c>
      <c r="X64" s="31">
        <v>0.05</v>
      </c>
    </row>
    <row r="65" spans="2:46" x14ac:dyDescent="0.35">
      <c r="W65" t="s">
        <v>43</v>
      </c>
      <c r="X65" s="34" t="e">
        <f ca="1">IF(X63&lt;X64,"yes","no")</f>
        <v>#NAME?</v>
      </c>
    </row>
    <row r="68" spans="2:46" x14ac:dyDescent="0.35">
      <c r="B68" s="1" t="s">
        <v>88</v>
      </c>
      <c r="H68" t="s">
        <v>17</v>
      </c>
      <c r="AH68" t="s">
        <v>18</v>
      </c>
      <c r="AM68" t="s">
        <v>19</v>
      </c>
    </row>
    <row r="69" spans="2:46" ht="15" thickBot="1" x14ac:dyDescent="0.4"/>
    <row r="70" spans="2:46" ht="15" thickTop="1" x14ac:dyDescent="0.35">
      <c r="B70" s="51" t="s">
        <v>69</v>
      </c>
      <c r="C70" s="51" t="s">
        <v>70</v>
      </c>
      <c r="D70" s="51" t="s">
        <v>89</v>
      </c>
      <c r="E70" s="51" t="s">
        <v>71</v>
      </c>
      <c r="F70" s="51" t="s">
        <v>74</v>
      </c>
      <c r="H70" s="21" t="str">
        <f>B70</f>
        <v>Temp</v>
      </c>
      <c r="I70" s="21" t="str">
        <f>C70</f>
        <v>Water</v>
      </c>
      <c r="J70" s="21" t="str">
        <f>D70</f>
        <v>T x W</v>
      </c>
      <c r="K70" s="21" t="str">
        <f>E70</f>
        <v>Male</v>
      </c>
      <c r="L70" s="21" t="str">
        <f>F70</f>
        <v>Female</v>
      </c>
      <c r="M70" s="21" t="s">
        <v>20</v>
      </c>
      <c r="N70" s="21" t="s">
        <v>21</v>
      </c>
      <c r="O70" s="21" t="s">
        <v>22</v>
      </c>
      <c r="P70" s="21" t="s">
        <v>23</v>
      </c>
      <c r="Q70" s="21" t="s">
        <v>24</v>
      </c>
      <c r="R70" s="21" t="s">
        <v>12</v>
      </c>
      <c r="S70" s="21" t="s">
        <v>25</v>
      </c>
      <c r="V70" t="s">
        <v>13</v>
      </c>
      <c r="X70" t="s">
        <v>26</v>
      </c>
      <c r="Y70" s="22">
        <f>K83*LN(K83/M83)+L83*LN(L83/M83)</f>
        <v>-576.26986120489823</v>
      </c>
      <c r="AA70" t="s">
        <v>14</v>
      </c>
      <c r="AF70" t="s">
        <v>27</v>
      </c>
      <c r="AI70" s="3" t="s">
        <v>28</v>
      </c>
      <c r="AJ70" s="3" t="s">
        <v>29</v>
      </c>
      <c r="AM70" s="21" t="s">
        <v>22</v>
      </c>
      <c r="AN70" s="21" t="s">
        <v>30</v>
      </c>
      <c r="AO70" s="21" t="s">
        <v>31</v>
      </c>
      <c r="AP70" s="21" t="s">
        <v>32</v>
      </c>
      <c r="AQ70" s="21" t="s">
        <v>33</v>
      </c>
      <c r="AR70" s="21" t="s">
        <v>34</v>
      </c>
      <c r="AS70" s="21" t="s">
        <v>35</v>
      </c>
      <c r="AT70" s="21" t="s">
        <v>36</v>
      </c>
    </row>
    <row r="71" spans="2:46" x14ac:dyDescent="0.35">
      <c r="B71" s="50">
        <f t="shared" ref="B71:C82" si="30">A4</f>
        <v>20</v>
      </c>
      <c r="C71" s="50">
        <f t="shared" si="30"/>
        <v>0</v>
      </c>
      <c r="D71" s="50">
        <f>B71*C71</f>
        <v>0</v>
      </c>
      <c r="E71" s="50">
        <f t="shared" ref="E71:F82" si="31">C4</f>
        <v>21</v>
      </c>
      <c r="F71" s="50">
        <f t="shared" si="31"/>
        <v>0</v>
      </c>
      <c r="H71">
        <f t="shared" ref="H71:L82" si="32">B71</f>
        <v>20</v>
      </c>
      <c r="I71">
        <f t="shared" si="32"/>
        <v>0</v>
      </c>
      <c r="J71">
        <f t="shared" si="32"/>
        <v>0</v>
      </c>
      <c r="K71" s="23">
        <f t="shared" si="32"/>
        <v>21</v>
      </c>
      <c r="L71">
        <f t="shared" si="32"/>
        <v>0</v>
      </c>
      <c r="M71" s="24">
        <f>K71+L71</f>
        <v>21</v>
      </c>
      <c r="N71">
        <f>K71/M71</f>
        <v>1</v>
      </c>
      <c r="O71" t="e">
        <f ca="1">1/(1+EXP(-$V$72-MMULT(H71:J71,$V$73:$V$75)))</f>
        <v>#NAME?</v>
      </c>
      <c r="P71" s="25" t="e">
        <f ca="1">M71*O71</f>
        <v>#NAME?</v>
      </c>
      <c r="Q71" s="26" t="e">
        <f ca="1">M71-P71</f>
        <v>#NAME?</v>
      </c>
      <c r="R71" t="e">
        <f ca="1">M71*(N71*LN(O71)+(1-N71)*LN(1-O71))</f>
        <v>#NAME?</v>
      </c>
      <c r="S71" t="e">
        <f ca="1">100*IF(O71&gt;=$AI$77,K71/M71,L71/M71)</f>
        <v>#NAME?</v>
      </c>
      <c r="X71" t="s">
        <v>37</v>
      </c>
      <c r="Y71" s="27" t="e">
        <f ca="1">R83</f>
        <v>#NAME?</v>
      </c>
      <c r="AA71" s="25" t="e">
        <f t="array" aca="1" ref="AA71:AD74" ca="1">MINVERSE(MMULT(TRANSPOSE(DEsign(H71:J82)),O71:O82*(1-O71:O82)*M71:M82*DEsign(H71:J82)))</f>
        <v>#NAME?</v>
      </c>
      <c r="AB71" s="45" t="e">
        <f ca="1"/>
        <v>#NAME?</v>
      </c>
      <c r="AC71" s="45" t="e">
        <f ca="1"/>
        <v>#NAME?</v>
      </c>
      <c r="AD71" s="26" t="e">
        <f ca="1"/>
        <v>#NAME?</v>
      </c>
      <c r="AF71" s="22" t="e">
        <f t="array" aca="1" ref="AF71:AF74" ca="1">MMULT(AA71:AD74,MMULT(TRANSPOSE(DEsign(H71:J82)),M71:M82*(N71:N82-O71:O82)))</f>
        <v>#NAME?</v>
      </c>
      <c r="AH71" t="s">
        <v>23</v>
      </c>
      <c r="AI71" s="25">
        <f ca="1">SUMIF(O71:O82,"&gt;="&amp;AI77,K71:K82)</f>
        <v>0</v>
      </c>
      <c r="AJ71" s="26">
        <f ca="1">SUMIF(O71:O82,"&gt;="&amp;AI77,L71:L82)</f>
        <v>0</v>
      </c>
      <c r="AK71">
        <f ca="1">AI71+AJ71</f>
        <v>0</v>
      </c>
      <c r="AP71">
        <v>0</v>
      </c>
      <c r="AQ71">
        <v>0</v>
      </c>
      <c r="AR71" t="e">
        <f ca="1">1-AP71/AP$83</f>
        <v>#NAME?</v>
      </c>
      <c r="AS71" t="e">
        <f ca="1">1-AQ71/AQ$83</f>
        <v>#NAME?</v>
      </c>
      <c r="AT71" t="e">
        <f ca="1">(AR71-AR72)*AS71</f>
        <v>#NAME?</v>
      </c>
    </row>
    <row r="72" spans="2:46" x14ac:dyDescent="0.35">
      <c r="B72" s="50">
        <f t="shared" si="30"/>
        <v>21</v>
      </c>
      <c r="C72" s="50">
        <f t="shared" si="30"/>
        <v>0</v>
      </c>
      <c r="D72" s="50">
        <f t="shared" ref="D72:D82" si="33">B72*C72</f>
        <v>0</v>
      </c>
      <c r="E72" s="50">
        <f t="shared" si="31"/>
        <v>90</v>
      </c>
      <c r="F72" s="50">
        <f t="shared" si="31"/>
        <v>6</v>
      </c>
      <c r="H72">
        <f t="shared" si="32"/>
        <v>21</v>
      </c>
      <c r="I72">
        <f t="shared" si="32"/>
        <v>0</v>
      </c>
      <c r="J72">
        <f t="shared" si="32"/>
        <v>0</v>
      </c>
      <c r="K72" s="23">
        <f t="shared" si="32"/>
        <v>90</v>
      </c>
      <c r="L72">
        <f t="shared" si="32"/>
        <v>6</v>
      </c>
      <c r="M72" s="24">
        <f t="shared" ref="M72:M82" si="34">K72+L72</f>
        <v>96</v>
      </c>
      <c r="N72">
        <f t="shared" ref="N72:N82" si="35">K72/M72</f>
        <v>0.9375</v>
      </c>
      <c r="O72" t="e">
        <f t="shared" ref="O72:O82" ca="1" si="36">1/(1+EXP(-$V$72-MMULT(H72:J72,$V$73:$V$75)))</f>
        <v>#NAME?</v>
      </c>
      <c r="P72" s="23" t="e">
        <f t="shared" ref="P72:P82" ca="1" si="37">M72*O72</f>
        <v>#NAME?</v>
      </c>
      <c r="Q72" s="24" t="e">
        <f t="shared" ref="Q72:Q82" ca="1" si="38">M72-P72</f>
        <v>#NAME?</v>
      </c>
      <c r="R72" t="e">
        <f t="shared" ref="R72:R82" ca="1" si="39">M72*(N72*LN(O72)+(1-N72)*LN(1-O72))</f>
        <v>#NAME?</v>
      </c>
      <c r="S72" t="e">
        <f t="shared" ref="S72:S82" ca="1" si="40">100*IF(O72&gt;=$AI$77,K72/M72,L72/M72)</f>
        <v>#NAME?</v>
      </c>
      <c r="V72" s="22" t="e">
        <f t="array" aca="1" ref="V72:V75" ca="1">LogitCoeff(H71:L82,,,,,20)</f>
        <v>#NAME?</v>
      </c>
      <c r="AA72" s="23" t="e">
        <f ca="1"/>
        <v>#NAME?</v>
      </c>
      <c r="AB72" t="e">
        <f ca="1"/>
        <v>#NAME?</v>
      </c>
      <c r="AC72" t="e">
        <f ca="1"/>
        <v>#NAME?</v>
      </c>
      <c r="AD72" s="24" t="e">
        <f ca="1"/>
        <v>#NAME?</v>
      </c>
      <c r="AF72" s="31" t="e">
        <f ca="1"/>
        <v>#NAME?</v>
      </c>
      <c r="AH72" t="s">
        <v>24</v>
      </c>
      <c r="AI72" s="28">
        <f ca="1">AI73-AI71</f>
        <v>522</v>
      </c>
      <c r="AJ72" s="29">
        <f ca="1">AJ73-AJ71</f>
        <v>338</v>
      </c>
      <c r="AK72">
        <f ca="1">AI72+AJ72</f>
        <v>860</v>
      </c>
      <c r="AM72" t="e">
        <f t="array" aca="1" ref="AM72:AO83" ca="1">SelectCols(K71:O82,"5,2,1",1)</f>
        <v>#NAME?</v>
      </c>
      <c r="AN72" t="e">
        <f ca="1"/>
        <v>#NAME?</v>
      </c>
      <c r="AO72" t="e">
        <f ca="1"/>
        <v>#NAME?</v>
      </c>
      <c r="AP72" t="e">
        <f ca="1">AP71+AN72</f>
        <v>#NAME?</v>
      </c>
      <c r="AQ72" t="e">
        <f ca="1">AQ71+AO72</f>
        <v>#NAME?</v>
      </c>
      <c r="AR72" t="e">
        <f t="shared" ref="AR72:AS83" ca="1" si="41">1-AP72/AP$83</f>
        <v>#NAME?</v>
      </c>
      <c r="AS72" t="e">
        <f t="shared" ca="1" si="41"/>
        <v>#NAME?</v>
      </c>
      <c r="AT72" t="e">
        <f t="shared" ref="AT72:AT83" ca="1" si="42">(AR72-AR73)*AS72</f>
        <v>#NAME?</v>
      </c>
    </row>
    <row r="73" spans="2:46" x14ac:dyDescent="0.35">
      <c r="B73" s="50">
        <f t="shared" si="30"/>
        <v>22</v>
      </c>
      <c r="C73" s="50">
        <f t="shared" si="30"/>
        <v>0</v>
      </c>
      <c r="D73" s="50">
        <f t="shared" si="33"/>
        <v>0</v>
      </c>
      <c r="E73" s="50">
        <f t="shared" si="31"/>
        <v>91</v>
      </c>
      <c r="F73" s="50">
        <f t="shared" si="31"/>
        <v>23</v>
      </c>
      <c r="H73">
        <f t="shared" si="32"/>
        <v>22</v>
      </c>
      <c r="I73">
        <f t="shared" si="32"/>
        <v>0</v>
      </c>
      <c r="J73">
        <f t="shared" si="32"/>
        <v>0</v>
      </c>
      <c r="K73" s="23">
        <f t="shared" si="32"/>
        <v>91</v>
      </c>
      <c r="L73">
        <f t="shared" si="32"/>
        <v>23</v>
      </c>
      <c r="M73" s="24">
        <f t="shared" si="34"/>
        <v>114</v>
      </c>
      <c r="N73">
        <f t="shared" si="35"/>
        <v>0.79824561403508776</v>
      </c>
      <c r="O73" t="e">
        <f t="shared" ca="1" si="36"/>
        <v>#NAME?</v>
      </c>
      <c r="P73" s="23" t="e">
        <f t="shared" ca="1" si="37"/>
        <v>#NAME?</v>
      </c>
      <c r="Q73" s="24" t="e">
        <f t="shared" ca="1" si="38"/>
        <v>#NAME?</v>
      </c>
      <c r="R73" t="e">
        <f t="shared" ca="1" si="39"/>
        <v>#NAME?</v>
      </c>
      <c r="S73" t="e">
        <f t="shared" ca="1" si="40"/>
        <v>#NAME?</v>
      </c>
      <c r="V73" s="31" t="e">
        <f ca="1"/>
        <v>#NAME?</v>
      </c>
      <c r="X73" t="s">
        <v>38</v>
      </c>
      <c r="Y73" s="22" t="e">
        <f ca="1">2*(Y71-Y70)</f>
        <v>#NAME?</v>
      </c>
      <c r="AA73" s="23" t="e">
        <f ca="1"/>
        <v>#NAME?</v>
      </c>
      <c r="AB73" t="e">
        <f ca="1"/>
        <v>#NAME?</v>
      </c>
      <c r="AC73" t="e">
        <f ca="1"/>
        <v>#NAME?</v>
      </c>
      <c r="AD73" s="24" t="e">
        <f ca="1"/>
        <v>#NAME?</v>
      </c>
      <c r="AF73" s="31" t="e">
        <f ca="1"/>
        <v>#NAME?</v>
      </c>
      <c r="AI73">
        <f>K83</f>
        <v>522</v>
      </c>
      <c r="AJ73">
        <f>L83</f>
        <v>338</v>
      </c>
      <c r="AK73">
        <f>AI73+AJ73</f>
        <v>860</v>
      </c>
      <c r="AM73" t="e">
        <f ca="1"/>
        <v>#NAME?</v>
      </c>
      <c r="AN73" t="e">
        <f ca="1"/>
        <v>#NAME?</v>
      </c>
      <c r="AO73" t="e">
        <f ca="1"/>
        <v>#NAME?</v>
      </c>
      <c r="AP73" t="e">
        <f t="shared" ref="AP73:AQ83" ca="1" si="43">AP72+AN73</f>
        <v>#NAME?</v>
      </c>
      <c r="AQ73" t="e">
        <f t="shared" ca="1" si="43"/>
        <v>#NAME?</v>
      </c>
      <c r="AR73" t="e">
        <f t="shared" ca="1" si="41"/>
        <v>#NAME?</v>
      </c>
      <c r="AS73" t="e">
        <f t="shared" ca="1" si="41"/>
        <v>#NAME?</v>
      </c>
      <c r="AT73" t="e">
        <f t="shared" ca="1" si="42"/>
        <v>#NAME?</v>
      </c>
    </row>
    <row r="74" spans="2:46" x14ac:dyDescent="0.35">
      <c r="B74" s="50">
        <f t="shared" si="30"/>
        <v>23</v>
      </c>
      <c r="C74" s="50">
        <f t="shared" si="30"/>
        <v>0</v>
      </c>
      <c r="D74" s="50">
        <f t="shared" si="33"/>
        <v>0</v>
      </c>
      <c r="E74" s="50">
        <f t="shared" si="31"/>
        <v>61</v>
      </c>
      <c r="F74" s="50">
        <f t="shared" si="31"/>
        <v>73</v>
      </c>
      <c r="H74">
        <f t="shared" si="32"/>
        <v>23</v>
      </c>
      <c r="I74">
        <f t="shared" si="32"/>
        <v>0</v>
      </c>
      <c r="J74">
        <f t="shared" si="32"/>
        <v>0</v>
      </c>
      <c r="K74" s="23">
        <f t="shared" si="32"/>
        <v>61</v>
      </c>
      <c r="L74">
        <f t="shared" si="32"/>
        <v>73</v>
      </c>
      <c r="M74" s="24">
        <f t="shared" si="34"/>
        <v>134</v>
      </c>
      <c r="N74">
        <f t="shared" si="35"/>
        <v>0.45522388059701491</v>
      </c>
      <c r="O74" t="e">
        <f t="shared" ca="1" si="36"/>
        <v>#NAME?</v>
      </c>
      <c r="P74" s="23" t="e">
        <f t="shared" ca="1" si="37"/>
        <v>#NAME?</v>
      </c>
      <c r="Q74" s="24" t="e">
        <f t="shared" ca="1" si="38"/>
        <v>#NAME?</v>
      </c>
      <c r="R74" t="e">
        <f t="shared" ca="1" si="39"/>
        <v>#NAME?</v>
      </c>
      <c r="S74" t="e">
        <f t="shared" ca="1" si="40"/>
        <v>#NAME?</v>
      </c>
      <c r="V74" s="31" t="e">
        <f ca="1"/>
        <v>#NAME?</v>
      </c>
      <c r="X74" t="s">
        <v>39</v>
      </c>
      <c r="Y74" s="31">
        <f>COUNT(H71:J71)</f>
        <v>3</v>
      </c>
      <c r="AA74" s="28" t="e">
        <f ca="1"/>
        <v>#NAME?</v>
      </c>
      <c r="AB74" s="36" t="e">
        <f ca="1"/>
        <v>#NAME?</v>
      </c>
      <c r="AC74" s="36" t="e">
        <f ca="1"/>
        <v>#NAME?</v>
      </c>
      <c r="AD74" s="29" t="e">
        <f ca="1"/>
        <v>#NAME?</v>
      </c>
      <c r="AF74" s="27" t="e">
        <f ca="1"/>
        <v>#NAME?</v>
      </c>
      <c r="AM74" t="e">
        <f ca="1"/>
        <v>#NAME?</v>
      </c>
      <c r="AN74" t="e">
        <f ca="1"/>
        <v>#NAME?</v>
      </c>
      <c r="AO74" t="e">
        <f ca="1"/>
        <v>#NAME?</v>
      </c>
      <c r="AP74" t="e">
        <f t="shared" ca="1" si="43"/>
        <v>#NAME?</v>
      </c>
      <c r="AQ74" t="e">
        <f t="shared" ca="1" si="43"/>
        <v>#NAME?</v>
      </c>
      <c r="AR74" t="e">
        <f t="shared" ca="1" si="41"/>
        <v>#NAME?</v>
      </c>
      <c r="AS74" t="e">
        <f t="shared" ca="1" si="41"/>
        <v>#NAME?</v>
      </c>
      <c r="AT74" t="e">
        <f t="shared" ca="1" si="42"/>
        <v>#NAME?</v>
      </c>
    </row>
    <row r="75" spans="2:46" x14ac:dyDescent="0.35">
      <c r="B75" s="50">
        <f t="shared" si="30"/>
        <v>24</v>
      </c>
      <c r="C75" s="50">
        <f t="shared" si="30"/>
        <v>0</v>
      </c>
      <c r="D75" s="50">
        <f t="shared" si="33"/>
        <v>0</v>
      </c>
      <c r="E75" s="50">
        <f t="shared" si="31"/>
        <v>11</v>
      </c>
      <c r="F75" s="50">
        <f t="shared" si="31"/>
        <v>41</v>
      </c>
      <c r="H75">
        <f t="shared" si="32"/>
        <v>24</v>
      </c>
      <c r="I75">
        <f t="shared" si="32"/>
        <v>0</v>
      </c>
      <c r="J75">
        <f t="shared" si="32"/>
        <v>0</v>
      </c>
      <c r="K75" s="23">
        <f t="shared" si="32"/>
        <v>11</v>
      </c>
      <c r="L75">
        <f t="shared" si="32"/>
        <v>41</v>
      </c>
      <c r="M75" s="24">
        <f t="shared" si="34"/>
        <v>52</v>
      </c>
      <c r="N75">
        <f t="shared" si="35"/>
        <v>0.21153846153846154</v>
      </c>
      <c r="O75" t="e">
        <f t="shared" ca="1" si="36"/>
        <v>#NAME?</v>
      </c>
      <c r="P75" s="23" t="e">
        <f t="shared" ca="1" si="37"/>
        <v>#NAME?</v>
      </c>
      <c r="Q75" s="24" t="e">
        <f t="shared" ca="1" si="38"/>
        <v>#NAME?</v>
      </c>
      <c r="R75" t="e">
        <f t="shared" ca="1" si="39"/>
        <v>#NAME?</v>
      </c>
      <c r="S75" t="e">
        <f t="shared" ca="1" si="40"/>
        <v>#NAME?</v>
      </c>
      <c r="V75" s="27" t="e">
        <f ca="1"/>
        <v>#NAME?</v>
      </c>
      <c r="X75" t="s">
        <v>40</v>
      </c>
      <c r="Y75" s="31" t="e">
        <f ca="1">CHIDIST(Y73,Y74)</f>
        <v>#NAME?</v>
      </c>
      <c r="AH75" t="s">
        <v>41</v>
      </c>
      <c r="AI75" s="32">
        <f ca="1">AI71/AI73</f>
        <v>0</v>
      </c>
      <c r="AJ75" s="33">
        <f ca="1">AJ72/AJ73</f>
        <v>1</v>
      </c>
      <c r="AK75">
        <f ca="1">(AI71+AJ72)/AK73</f>
        <v>0.39302325581395348</v>
      </c>
      <c r="AM75" t="e">
        <f ca="1"/>
        <v>#NAME?</v>
      </c>
      <c r="AN75" t="e">
        <f ca="1"/>
        <v>#NAME?</v>
      </c>
      <c r="AO75" t="e">
        <f ca="1"/>
        <v>#NAME?</v>
      </c>
      <c r="AP75" t="e">
        <f t="shared" ca="1" si="43"/>
        <v>#NAME?</v>
      </c>
      <c r="AQ75" t="e">
        <f t="shared" ca="1" si="43"/>
        <v>#NAME?</v>
      </c>
      <c r="AR75" t="e">
        <f t="shared" ca="1" si="41"/>
        <v>#NAME?</v>
      </c>
      <c r="AS75" t="e">
        <f t="shared" ca="1" si="41"/>
        <v>#NAME?</v>
      </c>
      <c r="AT75" t="e">
        <f t="shared" ca="1" si="42"/>
        <v>#NAME?</v>
      </c>
    </row>
    <row r="76" spans="2:46" x14ac:dyDescent="0.35">
      <c r="B76" s="50">
        <f t="shared" si="30"/>
        <v>25</v>
      </c>
      <c r="C76" s="50">
        <f t="shared" si="30"/>
        <v>0</v>
      </c>
      <c r="D76" s="50">
        <f t="shared" si="33"/>
        <v>0</v>
      </c>
      <c r="E76" s="50">
        <f t="shared" si="31"/>
        <v>4</v>
      </c>
      <c r="F76" s="50">
        <f t="shared" si="31"/>
        <v>28</v>
      </c>
      <c r="H76">
        <f t="shared" si="32"/>
        <v>25</v>
      </c>
      <c r="I76">
        <f t="shared" si="32"/>
        <v>0</v>
      </c>
      <c r="J76">
        <f t="shared" si="32"/>
        <v>0</v>
      </c>
      <c r="K76" s="23">
        <f t="shared" si="32"/>
        <v>4</v>
      </c>
      <c r="L76">
        <f t="shared" si="32"/>
        <v>28</v>
      </c>
      <c r="M76" s="24">
        <f t="shared" si="34"/>
        <v>32</v>
      </c>
      <c r="N76">
        <f t="shared" si="35"/>
        <v>0.125</v>
      </c>
      <c r="O76" t="e">
        <f t="shared" ca="1" si="36"/>
        <v>#NAME?</v>
      </c>
      <c r="P76" s="23" t="e">
        <f t="shared" ca="1" si="37"/>
        <v>#NAME?</v>
      </c>
      <c r="Q76" s="24" t="e">
        <f t="shared" ca="1" si="38"/>
        <v>#NAME?</v>
      </c>
      <c r="R76" t="e">
        <f t="shared" ca="1" si="39"/>
        <v>#NAME?</v>
      </c>
      <c r="S76" t="e">
        <f t="shared" ca="1" si="40"/>
        <v>#NAME?</v>
      </c>
      <c r="X76" t="s">
        <v>42</v>
      </c>
      <c r="Y76" s="31">
        <v>0.05</v>
      </c>
      <c r="AM76" t="e">
        <f ca="1"/>
        <v>#NAME?</v>
      </c>
      <c r="AN76" t="e">
        <f ca="1"/>
        <v>#NAME?</v>
      </c>
      <c r="AO76" t="e">
        <f ca="1"/>
        <v>#NAME?</v>
      </c>
      <c r="AP76" t="e">
        <f t="shared" ca="1" si="43"/>
        <v>#NAME?</v>
      </c>
      <c r="AQ76" t="e">
        <f t="shared" ca="1" si="43"/>
        <v>#NAME?</v>
      </c>
      <c r="AR76" t="e">
        <f t="shared" ca="1" si="41"/>
        <v>#NAME?</v>
      </c>
      <c r="AS76" t="e">
        <f t="shared" ca="1" si="41"/>
        <v>#NAME?</v>
      </c>
      <c r="AT76" t="e">
        <f t="shared" ca="1" si="42"/>
        <v>#NAME?</v>
      </c>
    </row>
    <row r="77" spans="2:46" x14ac:dyDescent="0.35">
      <c r="B77" s="50">
        <f t="shared" si="30"/>
        <v>20</v>
      </c>
      <c r="C77" s="50">
        <f t="shared" si="30"/>
        <v>1</v>
      </c>
      <c r="D77" s="50">
        <f t="shared" si="33"/>
        <v>20</v>
      </c>
      <c r="E77" s="50">
        <f t="shared" si="31"/>
        <v>18</v>
      </c>
      <c r="F77" s="50">
        <f t="shared" si="31"/>
        <v>4</v>
      </c>
      <c r="H77">
        <f t="shared" si="32"/>
        <v>20</v>
      </c>
      <c r="I77">
        <f t="shared" si="32"/>
        <v>1</v>
      </c>
      <c r="J77">
        <f t="shared" si="32"/>
        <v>20</v>
      </c>
      <c r="K77" s="23">
        <f t="shared" si="32"/>
        <v>18</v>
      </c>
      <c r="L77">
        <f t="shared" si="32"/>
        <v>4</v>
      </c>
      <c r="M77" s="24">
        <f t="shared" si="34"/>
        <v>22</v>
      </c>
      <c r="N77">
        <f t="shared" si="35"/>
        <v>0.81818181818181823</v>
      </c>
      <c r="O77" t="e">
        <f t="shared" ca="1" si="36"/>
        <v>#NAME?</v>
      </c>
      <c r="P77" s="23" t="e">
        <f t="shared" ca="1" si="37"/>
        <v>#NAME?</v>
      </c>
      <c r="Q77" s="24" t="e">
        <f t="shared" ca="1" si="38"/>
        <v>#NAME?</v>
      </c>
      <c r="R77" t="e">
        <f t="shared" ca="1" si="39"/>
        <v>#NAME?</v>
      </c>
      <c r="S77" t="e">
        <f t="shared" ca="1" si="40"/>
        <v>#NAME?</v>
      </c>
      <c r="X77" t="s">
        <v>43</v>
      </c>
      <c r="Y77" s="34" t="e">
        <f ca="1">IF(Y75&lt;Y76,"yes","no")</f>
        <v>#NAME?</v>
      </c>
      <c r="AA77" t="s">
        <v>86</v>
      </c>
      <c r="AD77" t="s">
        <v>90</v>
      </c>
      <c r="AH77" t="s">
        <v>44</v>
      </c>
      <c r="AI77" s="35">
        <v>0.5</v>
      </c>
      <c r="AM77" t="e">
        <f ca="1"/>
        <v>#NAME?</v>
      </c>
      <c r="AN77" t="e">
        <f ca="1"/>
        <v>#NAME?</v>
      </c>
      <c r="AO77" t="e">
        <f ca="1"/>
        <v>#NAME?</v>
      </c>
      <c r="AP77" t="e">
        <f t="shared" ca="1" si="43"/>
        <v>#NAME?</v>
      </c>
      <c r="AQ77" t="e">
        <f t="shared" ca="1" si="43"/>
        <v>#NAME?</v>
      </c>
      <c r="AR77" t="e">
        <f t="shared" ca="1" si="41"/>
        <v>#NAME?</v>
      </c>
      <c r="AS77" t="e">
        <f t="shared" ca="1" si="41"/>
        <v>#NAME?</v>
      </c>
      <c r="AT77" t="e">
        <f t="shared" ca="1" si="42"/>
        <v>#NAME?</v>
      </c>
    </row>
    <row r="78" spans="2:46" x14ac:dyDescent="0.35">
      <c r="B78" s="50">
        <f t="shared" si="30"/>
        <v>21</v>
      </c>
      <c r="C78" s="50">
        <f t="shared" si="30"/>
        <v>1</v>
      </c>
      <c r="D78" s="50">
        <f t="shared" si="33"/>
        <v>21</v>
      </c>
      <c r="E78" s="50">
        <f t="shared" si="31"/>
        <v>75</v>
      </c>
      <c r="F78" s="50">
        <f t="shared" si="31"/>
        <v>9</v>
      </c>
      <c r="H78">
        <f t="shared" si="32"/>
        <v>21</v>
      </c>
      <c r="I78">
        <f t="shared" si="32"/>
        <v>1</v>
      </c>
      <c r="J78">
        <f t="shared" si="32"/>
        <v>21</v>
      </c>
      <c r="K78" s="23">
        <f t="shared" si="32"/>
        <v>75</v>
      </c>
      <c r="L78">
        <f t="shared" si="32"/>
        <v>9</v>
      </c>
      <c r="M78" s="24">
        <f t="shared" si="34"/>
        <v>84</v>
      </c>
      <c r="N78">
        <f t="shared" si="35"/>
        <v>0.8928571428571429</v>
      </c>
      <c r="O78" t="e">
        <f t="shared" ca="1" si="36"/>
        <v>#NAME?</v>
      </c>
      <c r="P78" s="23" t="e">
        <f t="shared" ca="1" si="37"/>
        <v>#NAME?</v>
      </c>
      <c r="Q78" s="24" t="e">
        <f t="shared" ca="1" si="38"/>
        <v>#NAME?</v>
      </c>
      <c r="R78" t="e">
        <f t="shared" ca="1" si="39"/>
        <v>#NAME?</v>
      </c>
      <c r="S78" t="e">
        <f t="shared" ca="1" si="40"/>
        <v>#NAME?</v>
      </c>
      <c r="AM78" t="e">
        <f ca="1"/>
        <v>#NAME?</v>
      </c>
      <c r="AN78" t="e">
        <f ca="1"/>
        <v>#NAME?</v>
      </c>
      <c r="AO78" t="e">
        <f ca="1"/>
        <v>#NAME?</v>
      </c>
      <c r="AP78" t="e">
        <f t="shared" ca="1" si="43"/>
        <v>#NAME?</v>
      </c>
      <c r="AQ78" t="e">
        <f t="shared" ca="1" si="43"/>
        <v>#NAME?</v>
      </c>
      <c r="AR78" t="e">
        <f t="shared" ca="1" si="41"/>
        <v>#NAME?</v>
      </c>
      <c r="AS78" t="e">
        <f t="shared" ca="1" si="41"/>
        <v>#NAME?</v>
      </c>
      <c r="AT78" t="e">
        <f t="shared" ca="1" si="42"/>
        <v>#NAME?</v>
      </c>
    </row>
    <row r="79" spans="2:46" x14ac:dyDescent="0.35">
      <c r="B79" s="50">
        <f t="shared" si="30"/>
        <v>22</v>
      </c>
      <c r="C79" s="50">
        <f t="shared" si="30"/>
        <v>1</v>
      </c>
      <c r="D79" s="50">
        <f t="shared" si="33"/>
        <v>22</v>
      </c>
      <c r="E79" s="50">
        <f t="shared" si="31"/>
        <v>68</v>
      </c>
      <c r="F79" s="50">
        <f t="shared" si="31"/>
        <v>21</v>
      </c>
      <c r="H79">
        <f t="shared" si="32"/>
        <v>22</v>
      </c>
      <c r="I79">
        <f t="shared" si="32"/>
        <v>1</v>
      </c>
      <c r="J79">
        <f t="shared" si="32"/>
        <v>22</v>
      </c>
      <c r="K79" s="23">
        <f t="shared" si="32"/>
        <v>68</v>
      </c>
      <c r="L79">
        <f t="shared" si="32"/>
        <v>21</v>
      </c>
      <c r="M79" s="24">
        <f t="shared" si="34"/>
        <v>89</v>
      </c>
      <c r="N79">
        <f t="shared" si="35"/>
        <v>0.7640449438202247</v>
      </c>
      <c r="O79" t="e">
        <f t="shared" ca="1" si="36"/>
        <v>#NAME?</v>
      </c>
      <c r="P79" s="23" t="e">
        <f t="shared" ca="1" si="37"/>
        <v>#NAME?</v>
      </c>
      <c r="Q79" s="24" t="e">
        <f t="shared" ca="1" si="38"/>
        <v>#NAME?</v>
      </c>
      <c r="R79" t="e">
        <f t="shared" ca="1" si="39"/>
        <v>#NAME?</v>
      </c>
      <c r="S79" t="e">
        <f t="shared" ca="1" si="40"/>
        <v>#NAME?</v>
      </c>
      <c r="X79" t="s">
        <v>45</v>
      </c>
      <c r="Y79" s="14" t="e">
        <f ca="1">1-Y71/Y70</f>
        <v>#NAME?</v>
      </c>
      <c r="AA79" t="s">
        <v>26</v>
      </c>
      <c r="AB79" s="22" t="e">
        <f ca="1">V6</f>
        <v>#NAME?</v>
      </c>
      <c r="AD79" t="s">
        <v>26</v>
      </c>
      <c r="AE79" s="22">
        <f ca="1">U29</f>
        <v>0</v>
      </c>
      <c r="AM79" t="e">
        <f ca="1"/>
        <v>#NAME?</v>
      </c>
      <c r="AN79" t="e">
        <f ca="1"/>
        <v>#NAME?</v>
      </c>
      <c r="AO79" t="e">
        <f ca="1"/>
        <v>#NAME?</v>
      </c>
      <c r="AP79" t="e">
        <f t="shared" ca="1" si="43"/>
        <v>#NAME?</v>
      </c>
      <c r="AQ79" t="e">
        <f t="shared" ca="1" si="43"/>
        <v>#NAME?</v>
      </c>
      <c r="AR79" t="e">
        <f t="shared" ca="1" si="41"/>
        <v>#NAME?</v>
      </c>
      <c r="AS79" t="e">
        <f t="shared" ca="1" si="41"/>
        <v>#NAME?</v>
      </c>
      <c r="AT79" t="e">
        <f t="shared" ca="1" si="42"/>
        <v>#NAME?</v>
      </c>
    </row>
    <row r="80" spans="2:46" x14ac:dyDescent="0.35">
      <c r="B80" s="50">
        <f t="shared" si="30"/>
        <v>23</v>
      </c>
      <c r="C80" s="50">
        <f t="shared" si="30"/>
        <v>1</v>
      </c>
      <c r="D80" s="50">
        <f t="shared" si="33"/>
        <v>23</v>
      </c>
      <c r="E80" s="50">
        <f t="shared" si="31"/>
        <v>59</v>
      </c>
      <c r="F80" s="50">
        <f t="shared" si="31"/>
        <v>65</v>
      </c>
      <c r="H80">
        <f t="shared" si="32"/>
        <v>23</v>
      </c>
      <c r="I80">
        <f t="shared" si="32"/>
        <v>1</v>
      </c>
      <c r="J80">
        <f t="shared" si="32"/>
        <v>23</v>
      </c>
      <c r="K80" s="23">
        <f t="shared" si="32"/>
        <v>59</v>
      </c>
      <c r="L80">
        <f t="shared" si="32"/>
        <v>65</v>
      </c>
      <c r="M80" s="24">
        <f t="shared" si="34"/>
        <v>124</v>
      </c>
      <c r="N80">
        <f t="shared" si="35"/>
        <v>0.47580645161290325</v>
      </c>
      <c r="O80" t="e">
        <f t="shared" ca="1" si="36"/>
        <v>#NAME?</v>
      </c>
      <c r="P80" s="23" t="e">
        <f t="shared" ca="1" si="37"/>
        <v>#NAME?</v>
      </c>
      <c r="Q80" s="24" t="e">
        <f t="shared" ca="1" si="38"/>
        <v>#NAME?</v>
      </c>
      <c r="R80" t="e">
        <f t="shared" ca="1" si="39"/>
        <v>#NAME?</v>
      </c>
      <c r="S80" t="e">
        <f t="shared" ca="1" si="40"/>
        <v>#NAME?</v>
      </c>
      <c r="X80" t="s">
        <v>46</v>
      </c>
      <c r="Y80" s="44" t="e">
        <f ca="1">1-EXP((-2/M83)*(Y71-Y70))</f>
        <v>#NAME?</v>
      </c>
      <c r="AA80" t="s">
        <v>37</v>
      </c>
      <c r="AB80" s="27" t="e">
        <f ca="1">Y71</f>
        <v>#NAME?</v>
      </c>
      <c r="AD80" t="s">
        <v>37</v>
      </c>
      <c r="AE80" s="27" t="e">
        <f ca="1">Y71</f>
        <v>#NAME?</v>
      </c>
      <c r="AM80" t="e">
        <f ca="1"/>
        <v>#NAME?</v>
      </c>
      <c r="AN80" t="e">
        <f ca="1"/>
        <v>#NAME?</v>
      </c>
      <c r="AO80" t="e">
        <f ca="1"/>
        <v>#NAME?</v>
      </c>
      <c r="AP80" t="e">
        <f t="shared" ca="1" si="43"/>
        <v>#NAME?</v>
      </c>
      <c r="AQ80" t="e">
        <f t="shared" ca="1" si="43"/>
        <v>#NAME?</v>
      </c>
      <c r="AR80" t="e">
        <f t="shared" ca="1" si="41"/>
        <v>#NAME?</v>
      </c>
      <c r="AS80" t="e">
        <f t="shared" ca="1" si="41"/>
        <v>#NAME?</v>
      </c>
      <c r="AT80" t="e">
        <f t="shared" ca="1" si="42"/>
        <v>#NAME?</v>
      </c>
    </row>
    <row r="81" spans="2:46" x14ac:dyDescent="0.35">
      <c r="B81" s="50">
        <f t="shared" si="30"/>
        <v>24</v>
      </c>
      <c r="C81" s="50">
        <f t="shared" si="30"/>
        <v>1</v>
      </c>
      <c r="D81" s="50">
        <f t="shared" si="33"/>
        <v>24</v>
      </c>
      <c r="E81" s="50">
        <f t="shared" si="31"/>
        <v>17</v>
      </c>
      <c r="F81" s="50">
        <f t="shared" si="31"/>
        <v>46</v>
      </c>
      <c r="H81">
        <f t="shared" si="32"/>
        <v>24</v>
      </c>
      <c r="I81">
        <f t="shared" si="32"/>
        <v>1</v>
      </c>
      <c r="J81">
        <f t="shared" si="32"/>
        <v>24</v>
      </c>
      <c r="K81" s="23">
        <f t="shared" si="32"/>
        <v>17</v>
      </c>
      <c r="L81">
        <f t="shared" si="32"/>
        <v>46</v>
      </c>
      <c r="M81" s="24">
        <f t="shared" si="34"/>
        <v>63</v>
      </c>
      <c r="N81">
        <f t="shared" si="35"/>
        <v>0.26984126984126983</v>
      </c>
      <c r="O81" t="e">
        <f t="shared" ca="1" si="36"/>
        <v>#NAME?</v>
      </c>
      <c r="P81" s="23" t="e">
        <f t="shared" ca="1" si="37"/>
        <v>#NAME?</v>
      </c>
      <c r="Q81" s="24" t="e">
        <f t="shared" ca="1" si="38"/>
        <v>#NAME?</v>
      </c>
      <c r="R81" t="e">
        <f t="shared" ca="1" si="39"/>
        <v>#NAME?</v>
      </c>
      <c r="S81" t="e">
        <f t="shared" ca="1" si="40"/>
        <v>#NAME?</v>
      </c>
      <c r="X81" t="s">
        <v>47</v>
      </c>
      <c r="Y81" s="44" t="e">
        <f ca="1">Y80/(1-EXP(2*Y70/M83))</f>
        <v>#NAME?</v>
      </c>
      <c r="AM81" t="e">
        <f ca="1"/>
        <v>#NAME?</v>
      </c>
      <c r="AN81" t="e">
        <f ca="1"/>
        <v>#NAME?</v>
      </c>
      <c r="AO81" t="e">
        <f ca="1"/>
        <v>#NAME?</v>
      </c>
      <c r="AP81" t="e">
        <f t="shared" ca="1" si="43"/>
        <v>#NAME?</v>
      </c>
      <c r="AQ81" t="e">
        <f t="shared" ca="1" si="43"/>
        <v>#NAME?</v>
      </c>
      <c r="AR81" t="e">
        <f t="shared" ca="1" si="41"/>
        <v>#NAME?</v>
      </c>
      <c r="AS81" t="e">
        <f t="shared" ca="1" si="41"/>
        <v>#NAME?</v>
      </c>
      <c r="AT81" t="e">
        <f t="shared" ca="1" si="42"/>
        <v>#NAME?</v>
      </c>
    </row>
    <row r="82" spans="2:46" x14ac:dyDescent="0.35">
      <c r="B82" s="30">
        <f t="shared" si="30"/>
        <v>25</v>
      </c>
      <c r="C82" s="30">
        <f t="shared" si="30"/>
        <v>1</v>
      </c>
      <c r="D82" s="30">
        <f t="shared" si="33"/>
        <v>25</v>
      </c>
      <c r="E82" s="30">
        <f t="shared" si="31"/>
        <v>7</v>
      </c>
      <c r="F82" s="30">
        <f t="shared" si="31"/>
        <v>22</v>
      </c>
      <c r="H82">
        <f t="shared" si="32"/>
        <v>25</v>
      </c>
      <c r="I82">
        <f t="shared" si="32"/>
        <v>1</v>
      </c>
      <c r="J82">
        <f t="shared" si="32"/>
        <v>25</v>
      </c>
      <c r="K82" s="28">
        <f t="shared" si="32"/>
        <v>7</v>
      </c>
      <c r="L82" s="36">
        <f t="shared" si="32"/>
        <v>22</v>
      </c>
      <c r="M82" s="24">
        <f t="shared" si="34"/>
        <v>29</v>
      </c>
      <c r="N82">
        <f t="shared" si="35"/>
        <v>0.2413793103448276</v>
      </c>
      <c r="O82" t="e">
        <f t="shared" ca="1" si="36"/>
        <v>#NAME?</v>
      </c>
      <c r="P82" s="23" t="e">
        <f t="shared" ca="1" si="37"/>
        <v>#NAME?</v>
      </c>
      <c r="Q82" s="24" t="e">
        <f t="shared" ca="1" si="38"/>
        <v>#NAME?</v>
      </c>
      <c r="R82" t="e">
        <f t="shared" ca="1" si="39"/>
        <v>#NAME?</v>
      </c>
      <c r="S82" t="e">
        <f t="shared" ca="1" si="40"/>
        <v>#NAME?</v>
      </c>
      <c r="X82" t="s">
        <v>110</v>
      </c>
      <c r="Y82" s="44" t="e">
        <f ca="1">-2*Y71+2*(Y74+1)</f>
        <v>#NAME?</v>
      </c>
      <c r="AA82" t="s">
        <v>38</v>
      </c>
      <c r="AB82" s="22" t="e">
        <f ca="1">2*(AB80-AB79)</f>
        <v>#NAME?</v>
      </c>
      <c r="AD82" t="s">
        <v>38</v>
      </c>
      <c r="AE82" s="22" t="e">
        <f ca="1">2*(AE80-AE79)</f>
        <v>#NAME?</v>
      </c>
      <c r="AM82" t="e">
        <f ca="1"/>
        <v>#NAME?</v>
      </c>
      <c r="AN82" t="e">
        <f ca="1"/>
        <v>#NAME?</v>
      </c>
      <c r="AO82" t="e">
        <f ca="1"/>
        <v>#NAME?</v>
      </c>
      <c r="AP82" t="e">
        <f t="shared" ca="1" si="43"/>
        <v>#NAME?</v>
      </c>
      <c r="AQ82" t="e">
        <f t="shared" ca="1" si="43"/>
        <v>#NAME?</v>
      </c>
      <c r="AR82" t="e">
        <f t="shared" ca="1" si="41"/>
        <v>#NAME?</v>
      </c>
      <c r="AS82" t="e">
        <f t="shared" ca="1" si="41"/>
        <v>#NAME?</v>
      </c>
      <c r="AT82" t="e">
        <f t="shared" ca="1" si="42"/>
        <v>#NAME?</v>
      </c>
    </row>
    <row r="83" spans="2:46" x14ac:dyDescent="0.35">
      <c r="E83">
        <f>SUM(E71:E82)</f>
        <v>522</v>
      </c>
      <c r="F83">
        <f>SUM(F71:F82)</f>
        <v>338</v>
      </c>
      <c r="H83" s="37"/>
      <c r="I83" s="37"/>
      <c r="J83" s="37"/>
      <c r="K83" s="37">
        <f>SUM(K71:K82)</f>
        <v>522</v>
      </c>
      <c r="L83" s="37">
        <f>SUM(L71:L82)</f>
        <v>338</v>
      </c>
      <c r="M83" s="37">
        <f>SUM(M71:M82)</f>
        <v>860</v>
      </c>
      <c r="N83" s="37"/>
      <c r="O83" s="37"/>
      <c r="P83" s="37" t="e">
        <f ca="1">SUM(P71:P82)</f>
        <v>#NAME?</v>
      </c>
      <c r="Q83" s="37" t="e">
        <f ca="1">SUM(Q71:Q82)</f>
        <v>#NAME?</v>
      </c>
      <c r="R83" s="37" t="e">
        <f ca="1">SUM(R71:R82)</f>
        <v>#NAME?</v>
      </c>
      <c r="S83" s="37" t="e">
        <f ca="1">SUMPRODUCT(S71:S82,M71:M82)/M83</f>
        <v>#NAME?</v>
      </c>
      <c r="X83" t="s">
        <v>111</v>
      </c>
      <c r="Y83" s="15" t="e">
        <f ca="1">-2*Y71+(Y74+1)*LN(M83)</f>
        <v>#NAME?</v>
      </c>
      <c r="AA83" t="s">
        <v>39</v>
      </c>
      <c r="AB83" s="31">
        <f>Y74-V9</f>
        <v>1</v>
      </c>
      <c r="AD83" t="s">
        <v>39</v>
      </c>
      <c r="AE83" s="31">
        <f>Y74-X41</f>
        <v>2</v>
      </c>
      <c r="AM83" s="30" t="e">
        <f ca="1"/>
        <v>#NAME?</v>
      </c>
      <c r="AN83" s="30" t="e">
        <f ca="1"/>
        <v>#NAME?</v>
      </c>
      <c r="AO83" s="30" t="e">
        <f ca="1"/>
        <v>#NAME?</v>
      </c>
      <c r="AP83" s="30" t="e">
        <f t="shared" ca="1" si="43"/>
        <v>#NAME?</v>
      </c>
      <c r="AQ83" s="30" t="e">
        <f t="shared" ca="1" si="43"/>
        <v>#NAME?</v>
      </c>
      <c r="AR83" s="30" t="e">
        <f t="shared" ca="1" si="41"/>
        <v>#NAME?</v>
      </c>
      <c r="AS83" s="30" t="e">
        <f t="shared" ca="1" si="41"/>
        <v>#NAME?</v>
      </c>
      <c r="AT83" s="30" t="e">
        <f t="shared" ca="1" si="42"/>
        <v>#NAME?</v>
      </c>
    </row>
    <row r="84" spans="2:46" ht="15" thickBot="1" x14ac:dyDescent="0.4">
      <c r="AA84" t="s">
        <v>40</v>
      </c>
      <c r="AB84" s="31" t="e">
        <f ca="1">CHIDIST(AB82,AB83)</f>
        <v>#NAME?</v>
      </c>
      <c r="AD84" t="s">
        <v>40</v>
      </c>
      <c r="AE84" s="31" t="e">
        <f ca="1">CHIDIST(AE82,AE83)</f>
        <v>#NAME?</v>
      </c>
      <c r="AT84" t="e">
        <f ca="1">SUM(AT71:AT83)</f>
        <v>#NAME?</v>
      </c>
    </row>
    <row r="85" spans="2:46" ht="15" thickTop="1" x14ac:dyDescent="0.35">
      <c r="H85" s="21"/>
      <c r="I85" s="21" t="s">
        <v>48</v>
      </c>
      <c r="J85" s="21" t="s">
        <v>49</v>
      </c>
      <c r="K85" s="21" t="s">
        <v>50</v>
      </c>
      <c r="L85" s="21" t="s">
        <v>40</v>
      </c>
      <c r="M85" s="21" t="s">
        <v>51</v>
      </c>
      <c r="N85" s="21" t="s">
        <v>52</v>
      </c>
      <c r="O85" s="21" t="s">
        <v>53</v>
      </c>
      <c r="AA85" t="s">
        <v>42</v>
      </c>
      <c r="AB85" s="31">
        <v>0.05</v>
      </c>
      <c r="AD85" t="s">
        <v>42</v>
      </c>
      <c r="AE85" s="31">
        <v>0.05</v>
      </c>
    </row>
    <row r="86" spans="2:46" x14ac:dyDescent="0.35">
      <c r="H86" t="s">
        <v>54</v>
      </c>
      <c r="I86" t="e">
        <f t="array" ref="I86:I89" ca="1">V72:V75</f>
        <v>#NAME?</v>
      </c>
      <c r="J86" t="e">
        <f t="array" aca="1" ref="J86:J89" ca="1">SQRT(DIAG(AA71:AD74))</f>
        <v>#NAME?</v>
      </c>
      <c r="K86" t="e">
        <f ca="1">(I86/J86)^2</f>
        <v>#NAME?</v>
      </c>
      <c r="L86" t="e">
        <f ca="1">CHIDIST(K86,1)</f>
        <v>#NAME?</v>
      </c>
      <c r="M86" t="e">
        <f ca="1">EXP(I86)</f>
        <v>#NAME?</v>
      </c>
      <c r="AA86" t="s">
        <v>43</v>
      </c>
      <c r="AB86" s="34" t="e">
        <f ca="1">IF(AB84&lt;AB85,"yes","no")</f>
        <v>#NAME?</v>
      </c>
      <c r="AD86" t="s">
        <v>43</v>
      </c>
      <c r="AE86" s="34" t="e">
        <f ca="1">IF(AE84&lt;AE85,"yes","no")</f>
        <v>#NAME?</v>
      </c>
    </row>
    <row r="87" spans="2:46" x14ac:dyDescent="0.35">
      <c r="H87" t="str">
        <f t="array" ref="H87:H89">TRANSPOSE(H70:J70)</f>
        <v>Temp</v>
      </c>
      <c r="I87" t="e">
        <f ca="1"/>
        <v>#NAME?</v>
      </c>
      <c r="J87" t="e">
        <f ca="1"/>
        <v>#NAME?</v>
      </c>
      <c r="K87" t="e">
        <f ca="1">(I87/J87)^2</f>
        <v>#NAME?</v>
      </c>
      <c r="L87" t="e">
        <f ca="1">CHIDIST(K87,1)</f>
        <v>#NAME?</v>
      </c>
      <c r="M87" t="e">
        <f ca="1">EXP(I87)</f>
        <v>#NAME?</v>
      </c>
      <c r="N87" t="e">
        <f ca="1">EXP(I87-J87*NORMSINV(1-$Y$76/2))</f>
        <v>#NAME?</v>
      </c>
      <c r="O87" t="e">
        <f ca="1">EXP(I87+J87*NORMSINV(1-$Y$76/2))</f>
        <v>#NAME?</v>
      </c>
    </row>
    <row r="88" spans="2:46" x14ac:dyDescent="0.35">
      <c r="H88" t="str">
        <v>Water</v>
      </c>
      <c r="I88" t="e">
        <f ca="1"/>
        <v>#NAME?</v>
      </c>
      <c r="J88" t="e">
        <f ca="1"/>
        <v>#NAME?</v>
      </c>
      <c r="K88" t="e">
        <f ca="1">(I88/J88)^2</f>
        <v>#NAME?</v>
      </c>
      <c r="L88" t="e">
        <f ca="1">CHIDIST(K88,1)</f>
        <v>#NAME?</v>
      </c>
      <c r="M88" t="e">
        <f ca="1">EXP(I88)</f>
        <v>#NAME?</v>
      </c>
      <c r="N88" t="e">
        <f ca="1">EXP(I88-J88*NORMSINV(1-$Y$76/2))</f>
        <v>#NAME?</v>
      </c>
      <c r="O88" t="e">
        <f ca="1">EXP(I88+J88*NORMSINV(1-$Y$76/2))</f>
        <v>#NAME?</v>
      </c>
    </row>
    <row r="89" spans="2:46" x14ac:dyDescent="0.35">
      <c r="H89" s="30" t="str">
        <v>T x W</v>
      </c>
      <c r="I89" s="30" t="e">
        <f ca="1"/>
        <v>#NAME?</v>
      </c>
      <c r="J89" s="30" t="e">
        <f ca="1"/>
        <v>#NAME?</v>
      </c>
      <c r="K89" s="30" t="e">
        <f ca="1">(I89/J89)^2</f>
        <v>#NAME?</v>
      </c>
      <c r="L89" s="30" t="e">
        <f ca="1">CHIDIST(K89,1)</f>
        <v>#NAME?</v>
      </c>
      <c r="M89" s="30" t="e">
        <f ca="1">EXP(I89)</f>
        <v>#NAME?</v>
      </c>
      <c r="N89" s="30" t="e">
        <f ca="1">EXP(I89-J89*NORMSINV(1-$Y$76/2))</f>
        <v>#NAME?</v>
      </c>
      <c r="O89" s="30" t="e">
        <f ca="1">EXP(I89+J89*NORMSINV(1-$Y$76/2))</f>
        <v>#NAME?</v>
      </c>
    </row>
    <row r="92" spans="2:46" x14ac:dyDescent="0.35">
      <c r="B92" t="s">
        <v>91</v>
      </c>
    </row>
    <row r="94" spans="2:46" x14ac:dyDescent="0.35">
      <c r="B94" t="s">
        <v>92</v>
      </c>
      <c r="H94" t="s">
        <v>93</v>
      </c>
      <c r="Q94" t="s">
        <v>94</v>
      </c>
      <c r="T94" t="s">
        <v>95</v>
      </c>
    </row>
    <row r="96" spans="2:46" x14ac:dyDescent="0.35">
      <c r="B96" s="51" t="s">
        <v>69</v>
      </c>
      <c r="C96" s="51" t="s">
        <v>70</v>
      </c>
      <c r="D96" s="51" t="s">
        <v>89</v>
      </c>
      <c r="E96" s="51" t="s">
        <v>22</v>
      </c>
      <c r="H96" t="e">
        <f t="array" aca="1" ref="H96:O100" ca="1">LogitCoeff(B71:F82,TRUE)</f>
        <v>#NAME?</v>
      </c>
      <c r="I96" t="e">
        <f ca="1"/>
        <v>#NAME?</v>
      </c>
      <c r="J96" t="e">
        <f ca="1"/>
        <v>#NAME?</v>
      </c>
      <c r="K96" t="e">
        <f ca="1"/>
        <v>#NAME?</v>
      </c>
      <c r="L96" t="e">
        <f ca="1"/>
        <v>#NAME?</v>
      </c>
      <c r="M96" t="e">
        <f ca="1"/>
        <v>#NAME?</v>
      </c>
      <c r="N96" t="e">
        <f ca="1"/>
        <v>#NAME?</v>
      </c>
      <c r="O96" t="e">
        <f ca="1"/>
        <v>#NAME?</v>
      </c>
      <c r="Q96" t="e">
        <f t="array" aca="1" ref="Q96:R102" ca="1">LogitRSquare(B71:F82,TRUE)</f>
        <v>#NAME?</v>
      </c>
      <c r="R96" s="14" t="e">
        <f ca="1"/>
        <v>#NAME?</v>
      </c>
      <c r="T96" t="e">
        <f t="array" aca="1" ref="T96:U100" ca="1">LogitTest(B71:F82,TRUE)</f>
        <v>#NAME?</v>
      </c>
      <c r="U96" s="14" t="e">
        <f ca="1"/>
        <v>#NAME?</v>
      </c>
    </row>
    <row r="97" spans="2:21" x14ac:dyDescent="0.35">
      <c r="B97" s="50">
        <v>24</v>
      </c>
      <c r="C97" s="50">
        <v>0</v>
      </c>
      <c r="D97" s="50">
        <f>B97*C97</f>
        <v>0</v>
      </c>
      <c r="E97" s="50" t="e">
        <f ca="1">LogitPred(B97:D97,$B$71:$F$82)</f>
        <v>#NAME?</v>
      </c>
      <c r="H97" t="e">
        <f ca="1"/>
        <v>#NAME?</v>
      </c>
      <c r="I97" s="42" t="e">
        <f ca="1"/>
        <v>#NAME?</v>
      </c>
      <c r="J97" s="37" t="e">
        <f ca="1"/>
        <v>#NAME?</v>
      </c>
      <c r="K97" s="37" t="e">
        <f ca="1"/>
        <v>#NAME?</v>
      </c>
      <c r="L97" s="37" t="e">
        <f ca="1"/>
        <v>#NAME?</v>
      </c>
      <c r="M97" s="37" t="e">
        <f ca="1"/>
        <v>#NAME?</v>
      </c>
      <c r="N97" s="37" t="e">
        <f ca="1"/>
        <v>#NAME?</v>
      </c>
      <c r="O97" s="43" t="e">
        <f ca="1"/>
        <v>#NAME?</v>
      </c>
      <c r="Q97" t="e">
        <f ca="1"/>
        <v>#NAME?</v>
      </c>
      <c r="R97" s="44" t="e">
        <f ca="1"/>
        <v>#NAME?</v>
      </c>
      <c r="T97" t="e">
        <f ca="1"/>
        <v>#NAME?</v>
      </c>
      <c r="U97" s="44" t="e">
        <f ca="1"/>
        <v>#NAME?</v>
      </c>
    </row>
    <row r="98" spans="2:21" x14ac:dyDescent="0.35">
      <c r="B98" s="50">
        <v>24</v>
      </c>
      <c r="C98" s="50">
        <v>1</v>
      </c>
      <c r="D98" s="50">
        <f>B98*C98</f>
        <v>24</v>
      </c>
      <c r="E98" s="50" t="e">
        <f ca="1">LogitPred(B98:D98,$B$71:$F$82)</f>
        <v>#NAME?</v>
      </c>
      <c r="H98" t="e">
        <f ca="1"/>
        <v>#NAME?</v>
      </c>
      <c r="I98" s="10" t="e">
        <f ca="1"/>
        <v>#NAME?</v>
      </c>
      <c r="J98" t="e">
        <f ca="1"/>
        <v>#NAME?</v>
      </c>
      <c r="K98" t="e">
        <f ca="1"/>
        <v>#NAME?</v>
      </c>
      <c r="L98" t="e">
        <f ca="1"/>
        <v>#NAME?</v>
      </c>
      <c r="M98" t="e">
        <f ca="1"/>
        <v>#NAME?</v>
      </c>
      <c r="N98" t="e">
        <f ca="1"/>
        <v>#NAME?</v>
      </c>
      <c r="O98" s="11" t="e">
        <f ca="1"/>
        <v>#NAME?</v>
      </c>
      <c r="Q98" t="e">
        <f ca="1"/>
        <v>#NAME?</v>
      </c>
      <c r="R98" s="44" t="e">
        <f ca="1"/>
        <v>#NAME?</v>
      </c>
      <c r="T98" t="e">
        <f ca="1"/>
        <v>#NAME?</v>
      </c>
      <c r="U98" s="44" t="e">
        <f ca="1"/>
        <v>#NAME?</v>
      </c>
    </row>
    <row r="99" spans="2:21" x14ac:dyDescent="0.35">
      <c r="B99" s="50">
        <v>24.5</v>
      </c>
      <c r="C99" s="50">
        <v>0</v>
      </c>
      <c r="D99" s="50">
        <f>B99*C99</f>
        <v>0</v>
      </c>
      <c r="E99" s="50" t="e">
        <f ca="1">LogitPred(B99:D99,$B$71:$F$82)</f>
        <v>#NAME?</v>
      </c>
      <c r="H99" t="e">
        <f ca="1"/>
        <v>#NAME?</v>
      </c>
      <c r="I99" s="10" t="e">
        <f ca="1"/>
        <v>#NAME?</v>
      </c>
      <c r="J99" t="e">
        <f ca="1"/>
        <v>#NAME?</v>
      </c>
      <c r="K99" t="e">
        <f ca="1"/>
        <v>#NAME?</v>
      </c>
      <c r="L99" t="e">
        <f ca="1"/>
        <v>#NAME?</v>
      </c>
      <c r="M99" t="e">
        <f ca="1"/>
        <v>#NAME?</v>
      </c>
      <c r="N99" t="e">
        <f ca="1"/>
        <v>#NAME?</v>
      </c>
      <c r="O99" s="11" t="e">
        <f ca="1"/>
        <v>#NAME?</v>
      </c>
      <c r="Q99" t="e">
        <f ca="1"/>
        <v>#NAME?</v>
      </c>
      <c r="R99" s="44" t="e">
        <f ca="1"/>
        <v>#NAME?</v>
      </c>
      <c r="T99" t="e">
        <f ca="1"/>
        <v>#NAME?</v>
      </c>
      <c r="U99" s="44" t="e">
        <f ca="1"/>
        <v>#NAME?</v>
      </c>
    </row>
    <row r="100" spans="2:21" x14ac:dyDescent="0.35">
      <c r="B100" s="30">
        <v>24.5</v>
      </c>
      <c r="C100" s="30">
        <v>1</v>
      </c>
      <c r="D100" s="30">
        <f>B100*C100</f>
        <v>24.5</v>
      </c>
      <c r="E100" s="30" t="e">
        <f ca="1">LogitPred(B100:D100,$B$71:$F$82)</f>
        <v>#NAME?</v>
      </c>
      <c r="H100" t="e">
        <f ca="1"/>
        <v>#NAME?</v>
      </c>
      <c r="I100" s="16" t="e">
        <f ca="1"/>
        <v>#NAME?</v>
      </c>
      <c r="J100" s="30" t="e">
        <f ca="1"/>
        <v>#NAME?</v>
      </c>
      <c r="K100" s="30" t="e">
        <f ca="1"/>
        <v>#NAME?</v>
      </c>
      <c r="L100" s="30" t="e">
        <f ca="1"/>
        <v>#NAME?</v>
      </c>
      <c r="M100" s="30" t="e">
        <f ca="1"/>
        <v>#NAME?</v>
      </c>
      <c r="N100" s="30" t="e">
        <f ca="1"/>
        <v>#NAME?</v>
      </c>
      <c r="O100" s="17" t="e">
        <f ca="1"/>
        <v>#NAME?</v>
      </c>
      <c r="Q100" t="e">
        <f ca="1"/>
        <v>#NAME?</v>
      </c>
      <c r="R100" s="44" t="e">
        <f ca="1"/>
        <v>#NAME?</v>
      </c>
      <c r="T100" t="e">
        <f ca="1"/>
        <v>#NAME?</v>
      </c>
      <c r="U100" s="15" t="e">
        <f ca="1"/>
        <v>#NAME?</v>
      </c>
    </row>
    <row r="101" spans="2:21" x14ac:dyDescent="0.35">
      <c r="Q101" t="e">
        <f ca="1"/>
        <v>#NAME?</v>
      </c>
      <c r="R101" s="44" t="e">
        <f ca="1"/>
        <v>#NAME?</v>
      </c>
    </row>
    <row r="102" spans="2:21" x14ac:dyDescent="0.35">
      <c r="Q102" t="e">
        <f ca="1"/>
        <v>#NAME?</v>
      </c>
      <c r="R102" s="15" t="e">
        <f ca="1"/>
        <v>#NAME?</v>
      </c>
    </row>
    <row r="103" spans="2:21" x14ac:dyDescent="0.35">
      <c r="B103" t="s">
        <v>96</v>
      </c>
    </row>
    <row r="105" spans="2:21" x14ac:dyDescent="0.35">
      <c r="B105" s="51" t="e">
        <f t="array" aca="1" ref="B105:F117" ca="1">LogitSelect(A3:D15,"1,2,1*2",TRUE)</f>
        <v>#NAME?</v>
      </c>
      <c r="C105" s="51" t="e">
        <f ca="1"/>
        <v>#NAME?</v>
      </c>
      <c r="D105" s="51" t="e">
        <f ca="1"/>
        <v>#NAME?</v>
      </c>
      <c r="E105" s="51" t="e">
        <f ca="1"/>
        <v>#NAME?</v>
      </c>
      <c r="F105" s="51" t="e">
        <f ca="1"/>
        <v>#NAME?</v>
      </c>
    </row>
    <row r="106" spans="2:21" x14ac:dyDescent="0.35">
      <c r="B106" s="50" t="e">
        <f ca="1"/>
        <v>#NAME?</v>
      </c>
      <c r="C106" s="50" t="e">
        <f ca="1"/>
        <v>#NAME?</v>
      </c>
      <c r="D106" s="50" t="e">
        <f ca="1"/>
        <v>#NAME?</v>
      </c>
      <c r="E106" s="50" t="e">
        <f ca="1"/>
        <v>#NAME?</v>
      </c>
      <c r="F106" s="50" t="e">
        <f ca="1"/>
        <v>#NAME?</v>
      </c>
    </row>
    <row r="107" spans="2:21" x14ac:dyDescent="0.35">
      <c r="B107" s="50" t="e">
        <f ca="1"/>
        <v>#NAME?</v>
      </c>
      <c r="C107" s="50" t="e">
        <f ca="1"/>
        <v>#NAME?</v>
      </c>
      <c r="D107" s="50" t="e">
        <f ca="1"/>
        <v>#NAME?</v>
      </c>
      <c r="E107" s="50" t="e">
        <f ca="1"/>
        <v>#NAME?</v>
      </c>
      <c r="F107" s="50" t="e">
        <f ca="1"/>
        <v>#NAME?</v>
      </c>
    </row>
    <row r="108" spans="2:21" x14ac:dyDescent="0.35">
      <c r="B108" s="50" t="e">
        <f ca="1"/>
        <v>#NAME?</v>
      </c>
      <c r="C108" s="50" t="e">
        <f ca="1"/>
        <v>#NAME?</v>
      </c>
      <c r="D108" s="50" t="e">
        <f ca="1"/>
        <v>#NAME?</v>
      </c>
      <c r="E108" s="50" t="e">
        <f ca="1"/>
        <v>#NAME?</v>
      </c>
      <c r="F108" s="50" t="e">
        <f ca="1"/>
        <v>#NAME?</v>
      </c>
    </row>
    <row r="109" spans="2:21" x14ac:dyDescent="0.35">
      <c r="B109" s="50" t="e">
        <f ca="1"/>
        <v>#NAME?</v>
      </c>
      <c r="C109" s="50" t="e">
        <f ca="1"/>
        <v>#NAME?</v>
      </c>
      <c r="D109" s="50" t="e">
        <f ca="1"/>
        <v>#NAME?</v>
      </c>
      <c r="E109" s="50" t="e">
        <f ca="1"/>
        <v>#NAME?</v>
      </c>
      <c r="F109" s="50" t="e">
        <f ca="1"/>
        <v>#NAME?</v>
      </c>
    </row>
    <row r="110" spans="2:21" x14ac:dyDescent="0.35">
      <c r="B110" s="50" t="e">
        <f ca="1"/>
        <v>#NAME?</v>
      </c>
      <c r="C110" s="50" t="e">
        <f ca="1"/>
        <v>#NAME?</v>
      </c>
      <c r="D110" s="50" t="e">
        <f ca="1"/>
        <v>#NAME?</v>
      </c>
      <c r="E110" s="50" t="e">
        <f ca="1"/>
        <v>#NAME?</v>
      </c>
      <c r="F110" s="50" t="e">
        <f ca="1"/>
        <v>#NAME?</v>
      </c>
    </row>
    <row r="111" spans="2:21" x14ac:dyDescent="0.35">
      <c r="B111" s="50" t="e">
        <f ca="1"/>
        <v>#NAME?</v>
      </c>
      <c r="C111" s="50" t="e">
        <f ca="1"/>
        <v>#NAME?</v>
      </c>
      <c r="D111" s="50" t="e">
        <f ca="1"/>
        <v>#NAME?</v>
      </c>
      <c r="E111" s="50" t="e">
        <f ca="1"/>
        <v>#NAME?</v>
      </c>
      <c r="F111" s="50" t="e">
        <f ca="1"/>
        <v>#NAME?</v>
      </c>
    </row>
    <row r="112" spans="2:21" x14ac:dyDescent="0.35">
      <c r="B112" s="50" t="e">
        <f ca="1"/>
        <v>#NAME?</v>
      </c>
      <c r="C112" s="50" t="e">
        <f ca="1"/>
        <v>#NAME?</v>
      </c>
      <c r="D112" s="50" t="e">
        <f ca="1"/>
        <v>#NAME?</v>
      </c>
      <c r="E112" s="50" t="e">
        <f ca="1"/>
        <v>#NAME?</v>
      </c>
      <c r="F112" s="50" t="e">
        <f ca="1"/>
        <v>#NAME?</v>
      </c>
    </row>
    <row r="113" spans="2:6" x14ac:dyDescent="0.35">
      <c r="B113" s="50" t="e">
        <f ca="1"/>
        <v>#NAME?</v>
      </c>
      <c r="C113" s="50" t="e">
        <f ca="1"/>
        <v>#NAME?</v>
      </c>
      <c r="D113" s="50" t="e">
        <f ca="1"/>
        <v>#NAME?</v>
      </c>
      <c r="E113" s="50" t="e">
        <f ca="1"/>
        <v>#NAME?</v>
      </c>
      <c r="F113" s="50" t="e">
        <f ca="1"/>
        <v>#NAME?</v>
      </c>
    </row>
    <row r="114" spans="2:6" x14ac:dyDescent="0.35">
      <c r="B114" s="50" t="e">
        <f ca="1"/>
        <v>#NAME?</v>
      </c>
      <c r="C114" s="50" t="e">
        <f ca="1"/>
        <v>#NAME?</v>
      </c>
      <c r="D114" s="50" t="e">
        <f ca="1"/>
        <v>#NAME?</v>
      </c>
      <c r="E114" s="50" t="e">
        <f ca="1"/>
        <v>#NAME?</v>
      </c>
      <c r="F114" s="50" t="e">
        <f ca="1"/>
        <v>#NAME?</v>
      </c>
    </row>
    <row r="115" spans="2:6" x14ac:dyDescent="0.35">
      <c r="B115" s="50" t="e">
        <f ca="1"/>
        <v>#NAME?</v>
      </c>
      <c r="C115" s="50" t="e">
        <f ca="1"/>
        <v>#NAME?</v>
      </c>
      <c r="D115" s="50" t="e">
        <f ca="1"/>
        <v>#NAME?</v>
      </c>
      <c r="E115" s="50" t="e">
        <f ca="1"/>
        <v>#NAME?</v>
      </c>
      <c r="F115" s="50" t="e">
        <f ca="1"/>
        <v>#NAME?</v>
      </c>
    </row>
    <row r="116" spans="2:6" x14ac:dyDescent="0.35">
      <c r="B116" s="50" t="e">
        <f ca="1"/>
        <v>#NAME?</v>
      </c>
      <c r="C116" s="50" t="e">
        <f ca="1"/>
        <v>#NAME?</v>
      </c>
      <c r="D116" s="50" t="e">
        <f ca="1"/>
        <v>#NAME?</v>
      </c>
      <c r="E116" s="50" t="e">
        <f ca="1"/>
        <v>#NAME?</v>
      </c>
      <c r="F116" s="50" t="e">
        <f ca="1"/>
        <v>#NAME?</v>
      </c>
    </row>
    <row r="117" spans="2:6" x14ac:dyDescent="0.35">
      <c r="B117" s="30" t="e">
        <f ca="1"/>
        <v>#NAME?</v>
      </c>
      <c r="C117" s="30" t="e">
        <f ca="1"/>
        <v>#NAME?</v>
      </c>
      <c r="D117" s="30" t="e">
        <f ca="1"/>
        <v>#NAME?</v>
      </c>
      <c r="E117" s="30" t="e">
        <f ca="1"/>
        <v>#NAME?</v>
      </c>
      <c r="F117" s="30" t="e">
        <f ca="1"/>
        <v>#NAME?</v>
      </c>
    </row>
    <row r="118" spans="2:6" x14ac:dyDescent="0.35">
      <c r="E118" t="e">
        <f ca="1">SUM(E106:E117)</f>
        <v>#NAME?</v>
      </c>
      <c r="F118" t="e">
        <f ca="1">SUM(F106:F117)</f>
        <v>#NAME?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ACFD-4207-4915-929B-92BCF1B72673}">
  <sheetPr codeName="Sheet274"/>
  <dimension ref="A1:Y26"/>
  <sheetViews>
    <sheetView workbookViewId="0"/>
  </sheetViews>
  <sheetFormatPr defaultRowHeight="14.5" x14ac:dyDescent="0.35"/>
  <cols>
    <col min="1" max="1" width="7" customWidth="1"/>
    <col min="2" max="4" width="7.7265625" customWidth="1"/>
    <col min="5" max="5" width="6" customWidth="1"/>
    <col min="7" max="13" width="9.1796875" customWidth="1"/>
    <col min="14" max="14" width="3.81640625" customWidth="1"/>
    <col min="15" max="15" width="10.26953125" customWidth="1"/>
    <col min="19" max="21" width="9.26953125" bestFit="1" customWidth="1"/>
    <col min="22" max="25" width="9.26953125" customWidth="1"/>
  </cols>
  <sheetData>
    <row r="1" spans="1:25" x14ac:dyDescent="0.35">
      <c r="A1" s="1" t="s">
        <v>97</v>
      </c>
      <c r="B1" s="1"/>
    </row>
    <row r="3" spans="1:25" x14ac:dyDescent="0.35">
      <c r="A3" s="51" t="s">
        <v>69</v>
      </c>
      <c r="B3" s="51" t="s">
        <v>70</v>
      </c>
      <c r="C3" s="51" t="s">
        <v>71</v>
      </c>
      <c r="D3" s="51" t="s">
        <v>74</v>
      </c>
      <c r="F3" s="47" t="s">
        <v>98</v>
      </c>
      <c r="O3" s="46" t="s">
        <v>99</v>
      </c>
      <c r="R3" s="47" t="s">
        <v>100</v>
      </c>
    </row>
    <row r="4" spans="1:25" x14ac:dyDescent="0.35">
      <c r="A4" s="50">
        <v>20</v>
      </c>
      <c r="B4" s="50">
        <v>0</v>
      </c>
      <c r="C4" s="50">
        <v>21</v>
      </c>
      <c r="D4" s="50">
        <v>0</v>
      </c>
    </row>
    <row r="5" spans="1:25" x14ac:dyDescent="0.35">
      <c r="A5" s="50">
        <v>21</v>
      </c>
      <c r="B5" s="50">
        <v>0</v>
      </c>
      <c r="C5" s="50">
        <v>90</v>
      </c>
      <c r="D5" s="50">
        <v>6</v>
      </c>
      <c r="F5" t="e">
        <f t="array" aca="1" ref="F5:M8" ca="1">LogitCoeff(A3:D15,TRUE,,TRUE)</f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O5" t="e">
        <f t="array" aca="1" ref="O5:P9" ca="1">LogitTest(A4:D15,1)</f>
        <v>#NAME?</v>
      </c>
      <c r="P5" s="14" t="e">
        <f ca="1"/>
        <v>#NAME?</v>
      </c>
      <c r="R5" t="e">
        <f t="array" aca="1" ref="R5:Y8" ca="1">LogitCoeff(A4:D15,TRUE)</f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</row>
    <row r="6" spans="1:25" x14ac:dyDescent="0.35">
      <c r="A6" s="50">
        <v>22</v>
      </c>
      <c r="B6" s="50">
        <v>0</v>
      </c>
      <c r="C6" s="50">
        <v>91</v>
      </c>
      <c r="D6" s="50">
        <v>23</v>
      </c>
      <c r="F6" t="e">
        <f ca="1"/>
        <v>#NAME?</v>
      </c>
      <c r="G6" s="42" t="e">
        <f ca="1"/>
        <v>#NAME?</v>
      </c>
      <c r="H6" s="37" t="e">
        <f ca="1"/>
        <v>#NAME?</v>
      </c>
      <c r="I6" s="37" t="e">
        <f ca="1"/>
        <v>#NAME?</v>
      </c>
      <c r="J6" s="37" t="e">
        <f ca="1"/>
        <v>#NAME?</v>
      </c>
      <c r="K6" s="37" t="e">
        <f ca="1"/>
        <v>#NAME?</v>
      </c>
      <c r="L6" s="37" t="e">
        <f ca="1"/>
        <v>#NAME?</v>
      </c>
      <c r="M6" s="43" t="e">
        <f ca="1"/>
        <v>#NAME?</v>
      </c>
      <c r="O6" t="e">
        <f ca="1"/>
        <v>#NAME?</v>
      </c>
      <c r="P6" s="44" t="e">
        <f ca="1"/>
        <v>#NAME?</v>
      </c>
      <c r="R6" t="e">
        <f ca="1"/>
        <v>#NAME?</v>
      </c>
      <c r="S6" s="42" t="e">
        <f ca="1"/>
        <v>#NAME?</v>
      </c>
      <c r="T6" s="37" t="e">
        <f ca="1"/>
        <v>#NAME?</v>
      </c>
      <c r="U6" s="37" t="e">
        <f ca="1"/>
        <v>#NAME?</v>
      </c>
      <c r="V6" s="37" t="e">
        <f ca="1"/>
        <v>#NAME?</v>
      </c>
      <c r="W6" s="37" t="e">
        <f ca="1"/>
        <v>#NAME?</v>
      </c>
      <c r="X6" s="37" t="e">
        <f ca="1"/>
        <v>#NAME?</v>
      </c>
      <c r="Y6" s="43" t="e">
        <f ca="1"/>
        <v>#NAME?</v>
      </c>
    </row>
    <row r="7" spans="1:25" x14ac:dyDescent="0.35">
      <c r="A7" s="50">
        <v>23</v>
      </c>
      <c r="B7" s="50">
        <v>0</v>
      </c>
      <c r="C7" s="50">
        <v>61</v>
      </c>
      <c r="D7" s="50">
        <v>73</v>
      </c>
      <c r="F7" t="e">
        <f ca="1"/>
        <v>#NAME?</v>
      </c>
      <c r="G7" s="10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s="11" t="e">
        <f ca="1"/>
        <v>#NAME?</v>
      </c>
      <c r="O7" t="e">
        <f ca="1"/>
        <v>#NAME?</v>
      </c>
      <c r="P7" s="44" t="e">
        <f ca="1"/>
        <v>#NAME?</v>
      </c>
      <c r="R7" t="e">
        <f ca="1"/>
        <v>#NAME?</v>
      </c>
      <c r="S7" s="10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s="11" t="e">
        <f ca="1"/>
        <v>#NAME?</v>
      </c>
    </row>
    <row r="8" spans="1:25" x14ac:dyDescent="0.35">
      <c r="A8" s="50">
        <v>24</v>
      </c>
      <c r="B8" s="50">
        <v>0</v>
      </c>
      <c r="C8" s="50">
        <v>11</v>
      </c>
      <c r="D8" s="50">
        <v>41</v>
      </c>
      <c r="F8" t="e">
        <f ca="1"/>
        <v>#NAME?</v>
      </c>
      <c r="G8" s="16" t="e">
        <f ca="1"/>
        <v>#NAME?</v>
      </c>
      <c r="H8" s="30" t="e">
        <f ca="1"/>
        <v>#NAME?</v>
      </c>
      <c r="I8" s="30" t="e">
        <f ca="1"/>
        <v>#NAME?</v>
      </c>
      <c r="J8" s="30" t="e">
        <f ca="1"/>
        <v>#NAME?</v>
      </c>
      <c r="K8" s="30" t="e">
        <f ca="1"/>
        <v>#NAME?</v>
      </c>
      <c r="L8" s="30" t="e">
        <f ca="1"/>
        <v>#NAME?</v>
      </c>
      <c r="M8" s="17" t="e">
        <f ca="1"/>
        <v>#NAME?</v>
      </c>
      <c r="O8" t="e">
        <f ca="1"/>
        <v>#NAME?</v>
      </c>
      <c r="P8" s="44" t="e">
        <f ca="1"/>
        <v>#NAME?</v>
      </c>
      <c r="R8" t="e">
        <f ca="1"/>
        <v>#NAME?</v>
      </c>
      <c r="S8" s="16" t="e">
        <f ca="1"/>
        <v>#NAME?</v>
      </c>
      <c r="T8" s="30" t="e">
        <f ca="1"/>
        <v>#NAME?</v>
      </c>
      <c r="U8" s="30" t="e">
        <f ca="1"/>
        <v>#NAME?</v>
      </c>
      <c r="V8" s="30" t="e">
        <f ca="1"/>
        <v>#NAME?</v>
      </c>
      <c r="W8" s="30" t="e">
        <f ca="1"/>
        <v>#NAME?</v>
      </c>
      <c r="X8" s="30" t="e">
        <f ca="1"/>
        <v>#NAME?</v>
      </c>
      <c r="Y8" s="17" t="e">
        <f ca="1"/>
        <v>#NAME?</v>
      </c>
    </row>
    <row r="9" spans="1:25" x14ac:dyDescent="0.35">
      <c r="A9" s="50">
        <v>25</v>
      </c>
      <c r="B9" s="50">
        <v>0</v>
      </c>
      <c r="C9" s="50">
        <v>4</v>
      </c>
      <c r="D9" s="50">
        <v>28</v>
      </c>
      <c r="O9" t="e">
        <f ca="1"/>
        <v>#NAME?</v>
      </c>
      <c r="P9" s="15" t="e">
        <f ca="1"/>
        <v>#NAME?</v>
      </c>
    </row>
    <row r="10" spans="1:25" x14ac:dyDescent="0.35">
      <c r="A10" s="50">
        <v>20</v>
      </c>
      <c r="B10" s="50">
        <v>1</v>
      </c>
      <c r="C10" s="50">
        <v>18</v>
      </c>
      <c r="D10" s="50">
        <v>4</v>
      </c>
      <c r="F10" s="46" t="s">
        <v>101</v>
      </c>
    </row>
    <row r="11" spans="1:25" x14ac:dyDescent="0.35">
      <c r="A11" s="50">
        <v>21</v>
      </c>
      <c r="B11" s="50">
        <v>1</v>
      </c>
      <c r="C11" s="50">
        <v>75</v>
      </c>
      <c r="D11" s="50">
        <v>9</v>
      </c>
      <c r="O11" s="46" t="s">
        <v>102</v>
      </c>
    </row>
    <row r="12" spans="1:25" x14ac:dyDescent="0.35">
      <c r="A12" s="50">
        <v>22</v>
      </c>
      <c r="B12" s="50">
        <v>1</v>
      </c>
      <c r="C12" s="50">
        <v>68</v>
      </c>
      <c r="D12" s="50">
        <v>21</v>
      </c>
      <c r="G12" s="42" t="e">
        <f t="array" aca="1" ref="G12:M14" ca="1">LogitCoeff(A4:D15)</f>
        <v>#NAME?</v>
      </c>
      <c r="H12" s="37" t="e">
        <f ca="1"/>
        <v>#NAME?</v>
      </c>
      <c r="I12" s="37" t="e">
        <f ca="1"/>
        <v>#NAME?</v>
      </c>
      <c r="J12" s="37" t="e">
        <f ca="1"/>
        <v>#NAME?</v>
      </c>
      <c r="K12" s="37" t="e">
        <f ca="1"/>
        <v>#NAME?</v>
      </c>
      <c r="L12" s="37" t="e">
        <f ca="1"/>
        <v>#NAME?</v>
      </c>
      <c r="M12" s="43" t="e">
        <f ca="1"/>
        <v>#NAME?</v>
      </c>
    </row>
    <row r="13" spans="1:25" x14ac:dyDescent="0.35">
      <c r="A13" s="50">
        <v>23</v>
      </c>
      <c r="B13" s="50">
        <v>1</v>
      </c>
      <c r="C13" s="50">
        <v>59</v>
      </c>
      <c r="D13" s="50">
        <v>65</v>
      </c>
      <c r="G13" s="10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s="11" t="e">
        <f ca="1"/>
        <v>#NAME?</v>
      </c>
      <c r="O13" t="e">
        <f t="array" aca="1" ref="O13:P19" ca="1">LogitRSquare(A4:D15,TRUE)</f>
        <v>#NAME?</v>
      </c>
      <c r="P13" s="14" t="e">
        <f ca="1"/>
        <v>#NAME?</v>
      </c>
    </row>
    <row r="14" spans="1:25" x14ac:dyDescent="0.35">
      <c r="A14" s="50">
        <v>24</v>
      </c>
      <c r="B14" s="50">
        <v>1</v>
      </c>
      <c r="C14" s="50">
        <v>17</v>
      </c>
      <c r="D14" s="50">
        <v>46</v>
      </c>
      <c r="G14" s="16" t="e">
        <f ca="1"/>
        <v>#NAME?</v>
      </c>
      <c r="H14" s="30" t="e">
        <f ca="1"/>
        <v>#NAME?</v>
      </c>
      <c r="I14" s="30" t="e">
        <f ca="1"/>
        <v>#NAME?</v>
      </c>
      <c r="J14" s="30" t="e">
        <f ca="1"/>
        <v>#NAME?</v>
      </c>
      <c r="K14" s="30" t="e">
        <f ca="1"/>
        <v>#NAME?</v>
      </c>
      <c r="L14" s="30" t="e">
        <f ca="1"/>
        <v>#NAME?</v>
      </c>
      <c r="M14" s="17" t="e">
        <f ca="1"/>
        <v>#NAME?</v>
      </c>
      <c r="O14" t="e">
        <f ca="1"/>
        <v>#NAME?</v>
      </c>
      <c r="P14" s="44" t="e">
        <f ca="1"/>
        <v>#NAME?</v>
      </c>
    </row>
    <row r="15" spans="1:25" x14ac:dyDescent="0.35">
      <c r="A15" s="30">
        <v>25</v>
      </c>
      <c r="B15" s="30">
        <v>1</v>
      </c>
      <c r="C15" s="30">
        <v>7</v>
      </c>
      <c r="D15" s="30">
        <v>22</v>
      </c>
      <c r="O15" t="e">
        <f ca="1"/>
        <v>#NAME?</v>
      </c>
      <c r="P15" s="44" t="e">
        <f ca="1"/>
        <v>#NAME?</v>
      </c>
    </row>
    <row r="16" spans="1:25" x14ac:dyDescent="0.35">
      <c r="C16">
        <f>SUM(C4:C15)</f>
        <v>522</v>
      </c>
      <c r="D16">
        <f>SUM(D4:D15)</f>
        <v>338</v>
      </c>
      <c r="F16" s="46" t="s">
        <v>101</v>
      </c>
      <c r="I16" s="46" t="s">
        <v>103</v>
      </c>
      <c r="O16" t="e">
        <f ca="1"/>
        <v>#NAME?</v>
      </c>
      <c r="P16" s="44" t="e">
        <f ca="1"/>
        <v>#NAME?</v>
      </c>
    </row>
    <row r="17" spans="7:16" x14ac:dyDescent="0.35">
      <c r="O17" t="e">
        <f ca="1"/>
        <v>#NAME?</v>
      </c>
      <c r="P17" s="44" t="e">
        <f ca="1"/>
        <v>#NAME?</v>
      </c>
    </row>
    <row r="18" spans="7:16" x14ac:dyDescent="0.35">
      <c r="G18" s="14" t="e">
        <f t="array" aca="1" ref="G18:G20" ca="1">LogitCoeff(A4:D15)</f>
        <v>#NAME?</v>
      </c>
      <c r="I18" t="s">
        <v>69</v>
      </c>
      <c r="J18" t="s">
        <v>70</v>
      </c>
      <c r="K18" t="s">
        <v>104</v>
      </c>
      <c r="O18" t="e">
        <f ca="1"/>
        <v>#NAME?</v>
      </c>
      <c r="P18" s="44" t="e">
        <f ca="1"/>
        <v>#NAME?</v>
      </c>
    </row>
    <row r="19" spans="7:16" x14ac:dyDescent="0.35">
      <c r="G19" s="44" t="e">
        <f ca="1"/>
        <v>#NAME?</v>
      </c>
      <c r="I19" s="42">
        <v>21</v>
      </c>
      <c r="J19" s="37">
        <v>0</v>
      </c>
      <c r="K19" s="43" t="e">
        <f ca="1">LogitPred(I19:J19,$A$4:$D$15)</f>
        <v>#NAME?</v>
      </c>
      <c r="O19" t="e">
        <f ca="1"/>
        <v>#NAME?</v>
      </c>
      <c r="P19" s="15" t="e">
        <f ca="1"/>
        <v>#NAME?</v>
      </c>
    </row>
    <row r="20" spans="7:16" x14ac:dyDescent="0.35">
      <c r="G20" s="15" t="e">
        <f ca="1"/>
        <v>#NAME?</v>
      </c>
      <c r="I20" s="16">
        <v>21.5</v>
      </c>
      <c r="J20" s="30">
        <v>0</v>
      </c>
      <c r="K20" s="17" t="e">
        <f ca="1">LogitPred(I20:J20,$A$4:$D$15)</f>
        <v>#NAME?</v>
      </c>
    </row>
    <row r="22" spans="7:16" x14ac:dyDescent="0.35">
      <c r="I22" s="46" t="s">
        <v>105</v>
      </c>
    </row>
    <row r="24" spans="7:16" x14ac:dyDescent="0.35">
      <c r="I24" t="s">
        <v>69</v>
      </c>
      <c r="J24" t="s">
        <v>70</v>
      </c>
      <c r="K24" t="s">
        <v>104</v>
      </c>
    </row>
    <row r="25" spans="7:16" x14ac:dyDescent="0.35">
      <c r="I25" s="42">
        <v>21</v>
      </c>
      <c r="J25" s="37">
        <v>0</v>
      </c>
      <c r="K25" s="43" t="e">
        <f ca="1">LogitPredC(I25:J25,$G$18:$G$20)</f>
        <v>#NAME?</v>
      </c>
    </row>
    <row r="26" spans="7:16" x14ac:dyDescent="0.35">
      <c r="I26" s="16">
        <v>21.5</v>
      </c>
      <c r="J26" s="30">
        <v>0</v>
      </c>
      <c r="K26" s="17" t="e">
        <f ca="1">LogitPredC(I26:J26,$G$18:$G$20)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Iter</vt:lpstr>
      <vt:lpstr>Tool</vt:lpstr>
      <vt:lpstr>Raw</vt:lpstr>
      <vt:lpstr>Alt</vt:lpstr>
      <vt:lpstr>Summary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2023-03-26T13:12:06Z</dcterms:created>
  <dcterms:modified xsi:type="dcterms:W3CDTF">2023-03-27T11:00:28Z</dcterms:modified>
</cp:coreProperties>
</file>