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F6B0C791-E8DD-4659-BC0E-AE3F7B189ED7}" xr6:coauthVersionLast="47" xr6:coauthVersionMax="47" xr10:uidLastSave="{00000000-0000-0000-0000-000000000000}"/>
  <bookViews>
    <workbookView xWindow="-110" yWindow="-110" windowWidth="19420" windowHeight="10300" xr2:uid="{C15BEC20-2768-4E58-87FB-D862584A3138}"/>
  </bookViews>
  <sheets>
    <sheet name="Title" sheetId="3" r:id="rId1"/>
    <sheet name="Logit 1" sheetId="1" r:id="rId2"/>
    <sheet name="Logit 2" sheetId="4" r:id="rId3"/>
    <sheet name="Logit 3" sheetId="5" r:id="rId4"/>
  </sheets>
  <externalReferences>
    <externalReference r:id="rId5"/>
    <externalReference r:id="rId6"/>
    <externalReference r:id="rId7"/>
  </externalReferences>
  <definedNames>
    <definedName name="solver_adj" localSheetId="1" hidden="1">'Logit 1'!$O$5:$O$6</definedName>
    <definedName name="solver_adj" localSheetId="2" hidden="1">'Logit 2'!$Q$7:$Q$8</definedName>
    <definedName name="solver_adj" localSheetId="3" hidden="1">'Logit 3'!$Q$7:$Q$8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st" localSheetId="1" hidden="1">1</definedName>
    <definedName name="solver_itr" localSheetId="1" hidden="1">2147483647</definedName>
    <definedName name="solver_lhs1" localSheetId="1" hidden="1">'Logit 1'!$K$10</definedName>
    <definedName name="solver_lhs10" localSheetId="1" hidden="1">'Logit 1'!$K$4</definedName>
    <definedName name="solver_lhs11" localSheetId="1" hidden="1">'Logit 1'!$K$5</definedName>
    <definedName name="solver_lhs12" localSheetId="1" hidden="1">'Logit 1'!$K$5</definedName>
    <definedName name="solver_lhs13" localSheetId="1" hidden="1">'Logit 1'!$K$6</definedName>
    <definedName name="solver_lhs14" localSheetId="1" hidden="1">'Logit 1'!$K$6</definedName>
    <definedName name="solver_lhs15" localSheetId="1" hidden="1">'Logit 1'!$K$7</definedName>
    <definedName name="solver_lhs16" localSheetId="1" hidden="1">'Logit 1'!$K$7</definedName>
    <definedName name="solver_lhs17" localSheetId="1" hidden="1">'Logit 1'!$K$8</definedName>
    <definedName name="solver_lhs18" localSheetId="1" hidden="1">'Logit 1'!$K$8</definedName>
    <definedName name="solver_lhs19" localSheetId="1" hidden="1">'Logit 1'!$K$9</definedName>
    <definedName name="solver_lhs2" localSheetId="1" hidden="1">'Logit 1'!$K$10</definedName>
    <definedName name="solver_lhs20" localSheetId="1" hidden="1">'Logit 1'!$K$9</definedName>
    <definedName name="solver_lhs3" localSheetId="1" hidden="1">'Logit 1'!$K$11</definedName>
    <definedName name="solver_lhs4" localSheetId="1" hidden="1">'Logit 1'!$K$11</definedName>
    <definedName name="solver_lhs5" localSheetId="1" hidden="1">'Logit 1'!$K$12</definedName>
    <definedName name="solver_lhs6" localSheetId="1" hidden="1">'Logit 1'!$K$12</definedName>
    <definedName name="solver_lhs7" localSheetId="1" hidden="1">'Logit 1'!$K$13</definedName>
    <definedName name="solver_lhs8" localSheetId="1" hidden="1">'Logit 1'!$K$13</definedName>
    <definedName name="solver_lhs9" localSheetId="1" hidden="1">'Logit 1'!$K$4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od" localSheetId="1" hidden="1">2147483647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wt" localSheetId="1" hidden="1">1</definedName>
    <definedName name="solver_opt" localSheetId="1" hidden="1">'Logit 1'!$L$14</definedName>
    <definedName name="solver_opt" localSheetId="2" hidden="1">'Logit 2'!$T$6</definedName>
    <definedName name="solver_opt" localSheetId="3" hidden="1">'Logit 3'!$T$6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10" localSheetId="1" hidden="1">3</definedName>
    <definedName name="solver_rel11" localSheetId="1" hidden="1">1</definedName>
    <definedName name="solver_rel12" localSheetId="1" hidden="1">3</definedName>
    <definedName name="solver_rel13" localSheetId="1" hidden="1">1</definedName>
    <definedName name="solver_rel14" localSheetId="1" hidden="1">3</definedName>
    <definedName name="solver_rel15" localSheetId="1" hidden="1">1</definedName>
    <definedName name="solver_rel16" localSheetId="1" hidden="1">3</definedName>
    <definedName name="solver_rel17" localSheetId="1" hidden="1">1</definedName>
    <definedName name="solver_rel18" localSheetId="1" hidden="1">3</definedName>
    <definedName name="solver_rel19" localSheetId="1" hidden="1">1</definedName>
    <definedName name="solver_rel2" localSheetId="1" hidden="1">3</definedName>
    <definedName name="solver_rel20" localSheetId="1" hidden="1">3</definedName>
    <definedName name="solver_rel3" localSheetId="1" hidden="1">1</definedName>
    <definedName name="solver_rel4" localSheetId="1" hidden="1">3</definedName>
    <definedName name="solver_rel5" localSheetId="1" hidden="1">1</definedName>
    <definedName name="solver_rel6" localSheetId="1" hidden="1">3</definedName>
    <definedName name="solver_rel7" localSheetId="1" hidden="1">1</definedName>
    <definedName name="solver_rel8" localSheetId="1" hidden="1">3</definedName>
    <definedName name="solver_rel9" localSheetId="1" hidden="1">1</definedName>
    <definedName name="solver_rhs1" localSheetId="1" hidden="1">1</definedName>
    <definedName name="solver_rhs10" localSheetId="1" hidden="1">0</definedName>
    <definedName name="solver_rhs11" localSheetId="1" hidden="1">1</definedName>
    <definedName name="solver_rhs12" localSheetId="1" hidden="1">0</definedName>
    <definedName name="solver_rhs13" localSheetId="1" hidden="1">1</definedName>
    <definedName name="solver_rhs14" localSheetId="1" hidden="1">0</definedName>
    <definedName name="solver_rhs15" localSheetId="1" hidden="1">1</definedName>
    <definedName name="solver_rhs16" localSheetId="1" hidden="1">0</definedName>
    <definedName name="solver_rhs17" localSheetId="1" hidden="1">1</definedName>
    <definedName name="solver_rhs18" localSheetId="1" hidden="1">0</definedName>
    <definedName name="solver_rhs19" localSheetId="1" hidden="1">1</definedName>
    <definedName name="solver_rhs2" localSheetId="1" hidden="1">0</definedName>
    <definedName name="solver_rhs20" localSheetId="1" hidden="1">0</definedName>
    <definedName name="solver_rhs3" localSheetId="1" hidden="1">1</definedName>
    <definedName name="solver_rhs4" localSheetId="1" hidden="1">0</definedName>
    <definedName name="solver_rhs5" localSheetId="1" hidden="1">1</definedName>
    <definedName name="solver_rhs6" localSheetId="1" hidden="1">0</definedName>
    <definedName name="solver_rhs7" localSheetId="1" hidden="1">1</definedName>
    <definedName name="solver_rhs8" localSheetId="1" hidden="1">0</definedName>
    <definedName name="solver_rhs9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typ" localSheetId="2" hidden="1">1</definedName>
    <definedName name="solver_typ" localSheetId="3" hidden="1">1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er" localSheetId="1" hidden="1">3</definedName>
    <definedName name="solver_ver" localSheetId="2" hidden="1">3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5" l="1" a="1"/>
  <c r="W7" i="5" s="1"/>
  <c r="W6" i="5"/>
  <c r="V7" i="5"/>
  <c r="G19" i="5" a="1"/>
  <c r="G20" i="5" s="1"/>
  <c r="AG13" i="5"/>
  <c r="AH11" i="5"/>
  <c r="AG11" i="5"/>
  <c r="AH10" i="5"/>
  <c r="AF7" i="5" a="1"/>
  <c r="AH16" i="5" s="1"/>
  <c r="Y6" i="5" a="1"/>
  <c r="Y7" i="5" s="1"/>
  <c r="F19" i="5" a="1"/>
  <c r="F20" i="5" s="1"/>
  <c r="G15" i="5"/>
  <c r="H15" i="5" s="1"/>
  <c r="F15" i="5"/>
  <c r="G14" i="5"/>
  <c r="H14" i="5" s="1"/>
  <c r="F14" i="5"/>
  <c r="C14" i="5"/>
  <c r="B14" i="5"/>
  <c r="G13" i="5"/>
  <c r="F13" i="5"/>
  <c r="F16" i="5" s="1"/>
  <c r="G12" i="5"/>
  <c r="F12" i="5"/>
  <c r="H12" i="5" s="1"/>
  <c r="G11" i="5"/>
  <c r="F11" i="5"/>
  <c r="H11" i="5" s="1"/>
  <c r="H10" i="5"/>
  <c r="I10" i="5" s="1"/>
  <c r="G10" i="5"/>
  <c r="F10" i="5"/>
  <c r="G9" i="5"/>
  <c r="F9" i="5"/>
  <c r="H9" i="5" s="1"/>
  <c r="H8" i="5"/>
  <c r="G8" i="5"/>
  <c r="F8" i="5"/>
  <c r="G7" i="5"/>
  <c r="H7" i="5" s="1"/>
  <c r="F7" i="5"/>
  <c r="G6" i="5"/>
  <c r="G16" i="5" s="1"/>
  <c r="AC8" i="5" s="1"/>
  <c r="F6" i="5"/>
  <c r="H6" i="5" s="1"/>
  <c r="E6" i="5"/>
  <c r="J6" i="5" s="1"/>
  <c r="A6" i="5"/>
  <c r="E8" i="5" s="1"/>
  <c r="J8" i="5" s="1"/>
  <c r="N8" i="5" s="1"/>
  <c r="G5" i="5"/>
  <c r="F5" i="5"/>
  <c r="E5" i="5"/>
  <c r="E20" i="5" s="1" a="1"/>
  <c r="E20" i="5" s="1"/>
  <c r="A5" i="5"/>
  <c r="E7" i="5" s="1"/>
  <c r="J7" i="5" s="1"/>
  <c r="N7" i="5" s="1"/>
  <c r="F19" i="4" a="1"/>
  <c r="F20" i="4" s="1"/>
  <c r="G15" i="4"/>
  <c r="H15" i="4" s="1"/>
  <c r="F15" i="4"/>
  <c r="G14" i="4"/>
  <c r="F14" i="4"/>
  <c r="C14" i="4"/>
  <c r="B14" i="4"/>
  <c r="G13" i="4"/>
  <c r="F13" i="4"/>
  <c r="G12" i="4"/>
  <c r="F12" i="4"/>
  <c r="G11" i="4"/>
  <c r="H11" i="4" s="1"/>
  <c r="F11" i="4"/>
  <c r="G10" i="4"/>
  <c r="F10" i="4"/>
  <c r="H10" i="4" s="1"/>
  <c r="G9" i="4"/>
  <c r="F9" i="4"/>
  <c r="G8" i="4"/>
  <c r="F8" i="4"/>
  <c r="G7" i="4"/>
  <c r="F7" i="4"/>
  <c r="G6" i="4"/>
  <c r="F6" i="4"/>
  <c r="E6" i="4"/>
  <c r="J6" i="4" s="1"/>
  <c r="G5" i="4"/>
  <c r="F5" i="4"/>
  <c r="E5" i="4"/>
  <c r="E20" i="4" s="1" a="1"/>
  <c r="E20" i="4" s="1"/>
  <c r="A5" i="4"/>
  <c r="E7" i="4" s="1"/>
  <c r="J7" i="4" s="1"/>
  <c r="B24" i="1"/>
  <c r="B25" i="1" s="1"/>
  <c r="B21" i="1"/>
  <c r="B20" i="1"/>
  <c r="C14" i="1"/>
  <c r="B14" i="1"/>
  <c r="F14" i="1" s="1"/>
  <c r="G14" i="1" s="1"/>
  <c r="J13" i="1"/>
  <c r="F13" i="1"/>
  <c r="G13" i="1" s="1"/>
  <c r="J12" i="1"/>
  <c r="F12" i="1"/>
  <c r="G12" i="1" s="1"/>
  <c r="J11" i="1"/>
  <c r="F11" i="1"/>
  <c r="G11" i="1" s="1"/>
  <c r="J10" i="1"/>
  <c r="F10" i="1"/>
  <c r="G10" i="1" s="1"/>
  <c r="J9" i="1"/>
  <c r="F9" i="1"/>
  <c r="G9" i="1" s="1"/>
  <c r="J8" i="1"/>
  <c r="F8" i="1"/>
  <c r="G8" i="1" s="1"/>
  <c r="J7" i="1"/>
  <c r="F7" i="1"/>
  <c r="G7" i="1" s="1"/>
  <c r="J6" i="1"/>
  <c r="F6" i="1"/>
  <c r="G6" i="1" s="1"/>
  <c r="J5" i="1"/>
  <c r="F5" i="1"/>
  <c r="G5" i="1" s="1"/>
  <c r="A5" i="1"/>
  <c r="A6" i="1" s="1"/>
  <c r="J4" i="1"/>
  <c r="F4" i="1"/>
  <c r="G4" i="1" s="1"/>
  <c r="E4" i="1"/>
  <c r="I4" i="1" s="1"/>
  <c r="K4" i="1" s="1"/>
  <c r="L4" i="1" s="1"/>
  <c r="E3" i="1"/>
  <c r="V6" i="5" l="1"/>
  <c r="AF14" i="5"/>
  <c r="AF8" i="5"/>
  <c r="AG14" i="5"/>
  <c r="AH8" i="5"/>
  <c r="AF9" i="5"/>
  <c r="Y6" i="5"/>
  <c r="AG9" i="5"/>
  <c r="AF12" i="5"/>
  <c r="AH14" i="5"/>
  <c r="G19" i="5"/>
  <c r="AF7" i="5"/>
  <c r="AH9" i="5"/>
  <c r="AG12" i="5"/>
  <c r="AF15" i="5"/>
  <c r="AG7" i="5"/>
  <c r="AF10" i="5"/>
  <c r="AH12" i="5"/>
  <c r="AG15" i="5"/>
  <c r="AH7" i="5"/>
  <c r="AG10" i="5"/>
  <c r="AF13" i="5"/>
  <c r="AH15" i="5"/>
  <c r="AF16" i="5"/>
  <c r="AG8" i="5"/>
  <c r="AF11" i="5"/>
  <c r="AH13" i="5"/>
  <c r="AG16" i="5"/>
  <c r="K6" i="5"/>
  <c r="L6" i="5" s="1"/>
  <c r="I6" i="5"/>
  <c r="M6" i="5"/>
  <c r="J20" i="5"/>
  <c r="I7" i="5"/>
  <c r="M7" i="5" s="1"/>
  <c r="K7" i="5"/>
  <c r="L7" i="5" s="1"/>
  <c r="I11" i="5"/>
  <c r="I14" i="5"/>
  <c r="AB8" i="5"/>
  <c r="I12" i="5"/>
  <c r="N6" i="5"/>
  <c r="I9" i="5"/>
  <c r="I15" i="5"/>
  <c r="I8" i="5"/>
  <c r="M8" i="5" s="1"/>
  <c r="F19" i="5"/>
  <c r="H13" i="5"/>
  <c r="K8" i="5"/>
  <c r="L8" i="5" s="1"/>
  <c r="T9" i="5"/>
  <c r="A7" i="5"/>
  <c r="G16" i="4"/>
  <c r="AC8" i="4" s="1"/>
  <c r="H7" i="4"/>
  <c r="I7" i="4" s="1"/>
  <c r="M7" i="4" s="1"/>
  <c r="H14" i="4"/>
  <c r="I14" i="4" s="1"/>
  <c r="H8" i="4"/>
  <c r="H9" i="4"/>
  <c r="H13" i="4"/>
  <c r="H6" i="4"/>
  <c r="I6" i="4" s="1"/>
  <c r="M6" i="4" s="1"/>
  <c r="A6" i="4"/>
  <c r="E8" i="4" s="1"/>
  <c r="J8" i="4" s="1"/>
  <c r="N8" i="4" s="1"/>
  <c r="H12" i="4"/>
  <c r="I12" i="4" s="1"/>
  <c r="I11" i="4"/>
  <c r="I9" i="4"/>
  <c r="I13" i="4"/>
  <c r="I10" i="4"/>
  <c r="J20" i="4"/>
  <c r="F16" i="4"/>
  <c r="K7" i="4"/>
  <c r="I8" i="4"/>
  <c r="F19" i="4"/>
  <c r="T9" i="4"/>
  <c r="I15" i="4"/>
  <c r="A7" i="1"/>
  <c r="E6" i="1"/>
  <c r="I6" i="1" s="1"/>
  <c r="K6" i="1" s="1"/>
  <c r="L6" i="1" s="1"/>
  <c r="E5" i="1"/>
  <c r="I5" i="1" s="1"/>
  <c r="K5" i="1" s="1"/>
  <c r="L5" i="1" s="1"/>
  <c r="I13" i="5" l="1"/>
  <c r="J19" i="5"/>
  <c r="H16" i="5"/>
  <c r="A8" i="5"/>
  <c r="E9" i="5"/>
  <c r="J9" i="5" s="1"/>
  <c r="AD8" i="5"/>
  <c r="N7" i="4"/>
  <c r="H16" i="4"/>
  <c r="T5" i="4" s="1"/>
  <c r="L7" i="4"/>
  <c r="M8" i="4"/>
  <c r="K6" i="4"/>
  <c r="L6" i="4" s="1"/>
  <c r="N6" i="4"/>
  <c r="K8" i="4"/>
  <c r="L8" i="4" s="1"/>
  <c r="A7" i="4"/>
  <c r="A8" i="4" s="1"/>
  <c r="J19" i="4"/>
  <c r="AB8" i="4"/>
  <c r="A8" i="1"/>
  <c r="E7" i="1"/>
  <c r="I7" i="1" s="1"/>
  <c r="K7" i="1" s="1"/>
  <c r="L7" i="1" s="1"/>
  <c r="N9" i="5" l="1"/>
  <c r="K9" i="5"/>
  <c r="M9" i="5"/>
  <c r="T5" i="5"/>
  <c r="A9" i="5"/>
  <c r="E10" i="5"/>
  <c r="J10" i="5" s="1"/>
  <c r="E9" i="4"/>
  <c r="J9" i="4" s="1"/>
  <c r="A9" i="4"/>
  <c r="E10" i="4"/>
  <c r="J10" i="4" s="1"/>
  <c r="AD8" i="4"/>
  <c r="N9" i="4"/>
  <c r="M9" i="4"/>
  <c r="K9" i="4"/>
  <c r="E8" i="1"/>
  <c r="I8" i="1" s="1"/>
  <c r="K8" i="1" s="1"/>
  <c r="L8" i="1" s="1"/>
  <c r="A9" i="1"/>
  <c r="L9" i="5" l="1"/>
  <c r="K10" i="5"/>
  <c r="L10" i="5" s="1"/>
  <c r="N10" i="5"/>
  <c r="M10" i="5"/>
  <c r="E11" i="5"/>
  <c r="J11" i="5" s="1"/>
  <c r="A10" i="5"/>
  <c r="L9" i="4"/>
  <c r="N10" i="4"/>
  <c r="K10" i="4"/>
  <c r="L10" i="4" s="1"/>
  <c r="M10" i="4"/>
  <c r="E11" i="4"/>
  <c r="J11" i="4" s="1"/>
  <c r="A10" i="4"/>
  <c r="A10" i="1"/>
  <c r="E9" i="1"/>
  <c r="I9" i="1" s="1"/>
  <c r="K9" i="1" s="1"/>
  <c r="L9" i="1" s="1"/>
  <c r="E12" i="5" l="1"/>
  <c r="J12" i="5" s="1"/>
  <c r="A11" i="5"/>
  <c r="N11" i="5"/>
  <c r="K11" i="5"/>
  <c r="L11" i="5" s="1"/>
  <c r="M11" i="5"/>
  <c r="N11" i="4"/>
  <c r="K11" i="4"/>
  <c r="M11" i="4"/>
  <c r="E12" i="4"/>
  <c r="J12" i="4" s="1"/>
  <c r="A11" i="4"/>
  <c r="A11" i="1"/>
  <c r="E10" i="1"/>
  <c r="I10" i="1" s="1"/>
  <c r="K10" i="1" s="1"/>
  <c r="L10" i="1" s="1"/>
  <c r="E13" i="5" l="1"/>
  <c r="J13" i="5" s="1"/>
  <c r="A12" i="5"/>
  <c r="N12" i="5"/>
  <c r="K12" i="5"/>
  <c r="L12" i="5" s="1"/>
  <c r="M12" i="5"/>
  <c r="L11" i="4"/>
  <c r="E13" i="4"/>
  <c r="J13" i="4" s="1"/>
  <c r="A12" i="4"/>
  <c r="N12" i="4"/>
  <c r="K12" i="4"/>
  <c r="L12" i="4" s="1"/>
  <c r="M12" i="4"/>
  <c r="A12" i="1"/>
  <c r="E11" i="1"/>
  <c r="I11" i="1" s="1"/>
  <c r="K11" i="1" s="1"/>
  <c r="L11" i="1" s="1"/>
  <c r="A13" i="5" l="1"/>
  <c r="E15" i="5" s="1"/>
  <c r="E14" i="5"/>
  <c r="J14" i="5" s="1"/>
  <c r="N13" i="5"/>
  <c r="M13" i="5"/>
  <c r="K13" i="5"/>
  <c r="L13" i="5" s="1"/>
  <c r="A13" i="4"/>
  <c r="E15" i="4" s="1"/>
  <c r="E14" i="4"/>
  <c r="J14" i="4" s="1"/>
  <c r="N13" i="4"/>
  <c r="K13" i="4"/>
  <c r="L13" i="4" s="1"/>
  <c r="M13" i="4"/>
  <c r="A13" i="1"/>
  <c r="E13" i="1" s="1"/>
  <c r="I13" i="1" s="1"/>
  <c r="K13" i="1" s="1"/>
  <c r="L13" i="1" s="1"/>
  <c r="E12" i="1"/>
  <c r="I12" i="1" s="1"/>
  <c r="K12" i="1" s="1"/>
  <c r="L12" i="1" s="1"/>
  <c r="N14" i="5" l="1"/>
  <c r="K14" i="5"/>
  <c r="L14" i="5" s="1"/>
  <c r="M14" i="5"/>
  <c r="AB6" i="5"/>
  <c r="J15" i="5"/>
  <c r="N14" i="4"/>
  <c r="K14" i="4"/>
  <c r="M14" i="4"/>
  <c r="J15" i="4"/>
  <c r="L14" i="1"/>
  <c r="V6" i="4" a="1"/>
  <c r="Y6" i="4" a="1"/>
  <c r="AF7" i="4" a="1"/>
  <c r="AJ7" i="5" l="1"/>
  <c r="AI7" i="5"/>
  <c r="N15" i="5"/>
  <c r="N16" i="5" s="1"/>
  <c r="K15" i="5"/>
  <c r="M15" i="5"/>
  <c r="M16" i="5" s="1"/>
  <c r="T6" i="5" s="1"/>
  <c r="AC6" i="5"/>
  <c r="AC7" i="5" s="1"/>
  <c r="AC10" i="5" s="1"/>
  <c r="AB10" i="5"/>
  <c r="AB7" i="5"/>
  <c r="AG14" i="4"/>
  <c r="AH11" i="4"/>
  <c r="AF9" i="4"/>
  <c r="AH16" i="4"/>
  <c r="AF14" i="4"/>
  <c r="AG11" i="4"/>
  <c r="AH8" i="4"/>
  <c r="AG16" i="4"/>
  <c r="AH13" i="4"/>
  <c r="AF11" i="4"/>
  <c r="AG8" i="4"/>
  <c r="AF16" i="4"/>
  <c r="AG13" i="4"/>
  <c r="AH10" i="4"/>
  <c r="AF8" i="4"/>
  <c r="AF12" i="4"/>
  <c r="AH15" i="4"/>
  <c r="AF13" i="4"/>
  <c r="AG10" i="4"/>
  <c r="AH7" i="4"/>
  <c r="AJ7" i="4" s="1"/>
  <c r="AG15" i="4"/>
  <c r="AH12" i="4"/>
  <c r="AF10" i="4"/>
  <c r="AG7" i="4"/>
  <c r="AI7" i="4" s="1"/>
  <c r="AF15" i="4"/>
  <c r="AG12" i="4"/>
  <c r="AH9" i="4"/>
  <c r="AF7" i="4"/>
  <c r="AH14" i="4"/>
  <c r="AG9" i="4"/>
  <c r="Y7" i="4"/>
  <c r="Y6" i="4"/>
  <c r="V7" i="4"/>
  <c r="V6" i="4"/>
  <c r="W7" i="4"/>
  <c r="W6" i="4"/>
  <c r="N15" i="4"/>
  <c r="N16" i="4" s="1"/>
  <c r="K15" i="4"/>
  <c r="L15" i="4" s="1"/>
  <c r="L16" i="4" s="1"/>
  <c r="M15" i="4"/>
  <c r="M16" i="4" s="1"/>
  <c r="T6" i="4" s="1"/>
  <c r="AC6" i="4"/>
  <c r="AC7" i="4" s="1"/>
  <c r="AC10" i="4" s="1"/>
  <c r="AB6" i="4"/>
  <c r="L14" i="4"/>
  <c r="G19" i="4" a="1"/>
  <c r="H19" i="5" l="1"/>
  <c r="I19" i="5" s="1"/>
  <c r="T18" i="5"/>
  <c r="T8" i="5"/>
  <c r="T10" i="5" s="1"/>
  <c r="T12" i="5" s="1"/>
  <c r="T17" i="5"/>
  <c r="T14" i="5"/>
  <c r="T15" i="5"/>
  <c r="T16" i="5" s="1"/>
  <c r="L15" i="5"/>
  <c r="L16" i="5" s="1"/>
  <c r="K16" i="5"/>
  <c r="AJ8" i="5"/>
  <c r="AD7" i="5"/>
  <c r="AD6" i="5"/>
  <c r="AI8" i="5"/>
  <c r="AD10" i="5"/>
  <c r="G20" i="4"/>
  <c r="G19" i="4"/>
  <c r="H19" i="4" s="1"/>
  <c r="I19" i="4" s="1"/>
  <c r="T18" i="4"/>
  <c r="T8" i="4"/>
  <c r="T10" i="4" s="1"/>
  <c r="T12" i="4" s="1"/>
  <c r="T17" i="4"/>
  <c r="T14" i="4"/>
  <c r="T15" i="4"/>
  <c r="T16" i="4" s="1"/>
  <c r="AI8" i="4"/>
  <c r="AJ8" i="4"/>
  <c r="K16" i="4"/>
  <c r="AD10" i="4"/>
  <c r="AD6" i="4"/>
  <c r="AB10" i="4"/>
  <c r="AB7" i="4"/>
  <c r="AD7" i="4" s="1"/>
  <c r="AI9" i="5" l="1"/>
  <c r="AJ9" i="5"/>
  <c r="H20" i="5"/>
  <c r="I20" i="5" s="1"/>
  <c r="L20" i="5"/>
  <c r="K20" i="5"/>
  <c r="AI9" i="4"/>
  <c r="AJ9" i="4"/>
  <c r="H20" i="4"/>
  <c r="I20" i="4" s="1"/>
  <c r="L20" i="4"/>
  <c r="K20" i="4"/>
  <c r="AJ10" i="5" l="1"/>
  <c r="AI10" i="5"/>
  <c r="AJ10" i="4"/>
  <c r="AI10" i="4"/>
  <c r="AI11" i="5" l="1"/>
  <c r="AJ11" i="5"/>
  <c r="AI11" i="4"/>
  <c r="AJ11" i="4"/>
  <c r="AI12" i="5" l="1"/>
  <c r="AJ12" i="5"/>
  <c r="AI12" i="4"/>
  <c r="AJ12" i="4"/>
  <c r="AJ13" i="5" l="1"/>
  <c r="AI13" i="5"/>
  <c r="AJ13" i="4"/>
  <c r="AI13" i="4"/>
  <c r="AI14" i="5" l="1"/>
  <c r="AJ14" i="5"/>
  <c r="AJ14" i="4"/>
  <c r="AI14" i="4"/>
  <c r="AJ15" i="5" l="1"/>
  <c r="AI15" i="5"/>
  <c r="AI15" i="4"/>
  <c r="AJ15" i="4"/>
  <c r="AI16" i="5" l="1"/>
  <c r="AK15" i="5" s="1"/>
  <c r="AJ16" i="5"/>
  <c r="AI16" i="4"/>
  <c r="AJ16" i="4"/>
  <c r="AL16" i="5" l="1"/>
  <c r="AL6" i="5"/>
  <c r="AL7" i="5"/>
  <c r="AL8" i="5"/>
  <c r="AL9" i="5"/>
  <c r="AL10" i="5"/>
  <c r="AL11" i="5"/>
  <c r="AL12" i="5"/>
  <c r="AL13" i="5"/>
  <c r="AL14" i="5"/>
  <c r="AK6" i="5"/>
  <c r="AK16" i="5"/>
  <c r="AK7" i="5"/>
  <c r="AK8" i="5"/>
  <c r="AK9" i="5"/>
  <c r="AK10" i="5"/>
  <c r="AK11" i="5"/>
  <c r="AK12" i="5"/>
  <c r="AK13" i="5"/>
  <c r="AK14" i="5"/>
  <c r="AL15" i="5"/>
  <c r="AL6" i="4"/>
  <c r="AL16" i="4"/>
  <c r="AL7" i="4"/>
  <c r="AL8" i="4"/>
  <c r="AL9" i="4"/>
  <c r="AL10" i="4"/>
  <c r="AL11" i="4"/>
  <c r="AL12" i="4"/>
  <c r="AL13" i="4"/>
  <c r="AL14" i="4"/>
  <c r="AL15" i="4"/>
  <c r="AK6" i="4"/>
  <c r="AK16" i="4"/>
  <c r="AK7" i="4"/>
  <c r="AK8" i="4"/>
  <c r="AK9" i="4"/>
  <c r="AK10" i="4"/>
  <c r="AK11" i="4"/>
  <c r="AK12" i="4"/>
  <c r="AK13" i="4"/>
  <c r="AK14" i="4"/>
  <c r="AK15" i="4"/>
  <c r="AM16" i="5" l="1"/>
  <c r="AM7" i="5"/>
  <c r="AM14" i="5"/>
  <c r="AM10" i="5"/>
  <c r="AM15" i="5"/>
  <c r="AM8" i="5"/>
  <c r="AM9" i="5"/>
  <c r="AM13" i="5"/>
  <c r="AM6" i="5"/>
  <c r="AM12" i="5"/>
  <c r="AM11" i="5"/>
  <c r="AM14" i="4"/>
  <c r="AM6" i="4"/>
  <c r="AM9" i="4"/>
  <c r="AM16" i="4"/>
  <c r="AM8" i="4"/>
  <c r="AM15" i="4"/>
  <c r="AM7" i="4"/>
  <c r="AM12" i="4"/>
  <c r="AM13" i="4"/>
  <c r="AM11" i="4"/>
  <c r="AM10" i="4"/>
  <c r="AM17" i="5" l="1"/>
  <c r="AM17" i="4"/>
</calcChain>
</file>

<file path=xl/sharedStrings.xml><?xml version="1.0" encoding="utf-8"?>
<sst xmlns="http://schemas.openxmlformats.org/spreadsheetml/2006/main" count="149" uniqueCount="85">
  <si>
    <t>Logistic Regression using Solver</t>
  </si>
  <si>
    <t>SUMMARY OUTPUT</t>
  </si>
  <si>
    <t>Multiple R</t>
  </si>
  <si>
    <t>Rems</t>
  </si>
  <si>
    <t>Survived</t>
  </si>
  <si>
    <t>Died</t>
  </si>
  <si>
    <t>P(E)</t>
  </si>
  <si>
    <t>Odds(E)</t>
  </si>
  <si>
    <t>x</t>
  </si>
  <si>
    <t>y</t>
  </si>
  <si>
    <t>p</t>
  </si>
  <si>
    <t>LL</t>
  </si>
  <si>
    <t>B</t>
  </si>
  <si>
    <t>R Square</t>
  </si>
  <si>
    <t>Adjusted R Square</t>
  </si>
  <si>
    <t>a</t>
  </si>
  <si>
    <t>Standard Error</t>
  </si>
  <si>
    <t>b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</si>
  <si>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</si>
  <si>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</si>
  <si>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</si>
  <si>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</si>
  <si>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</si>
  <si>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</si>
  <si>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</si>
  <si>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</si>
  <si>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</si>
  <si>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</si>
  <si>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</si>
  <si>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</si>
  <si>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</si>
  <si>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</si>
  <si>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</si>
  <si>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Intercept</t>
  </si>
  <si>
    <t>E = event that the person survived</t>
  </si>
  <si>
    <t>X Variable 1</t>
  </si>
  <si>
    <t>Prediction</t>
  </si>
  <si>
    <t>b0</t>
  </si>
  <si>
    <t>b1</t>
  </si>
  <si>
    <t>logit(p)</t>
  </si>
  <si>
    <t>Logistic Regression</t>
  </si>
  <si>
    <t>Classification Table</t>
  </si>
  <si>
    <t>ROC Table</t>
  </si>
  <si>
    <t>p-Obs</t>
  </si>
  <si>
    <t>p-Pred</t>
  </si>
  <si>
    <t>Suc-Pred</t>
  </si>
  <si>
    <t>Fail-Pred</t>
  </si>
  <si>
    <t>% Correct</t>
  </si>
  <si>
    <t>Coeff</t>
  </si>
  <si>
    <t>LL0</t>
  </si>
  <si>
    <t>Covariance Matrix</t>
  </si>
  <si>
    <t>Suc-Obs</t>
  </si>
  <si>
    <t>Fail-Obs</t>
  </si>
  <si>
    <t>Failure</t>
  </si>
  <si>
    <t>Success</t>
  </si>
  <si>
    <t>Fail-Cum</t>
  </si>
  <si>
    <t>Suc-Cum</t>
  </si>
  <si>
    <t>FPR</t>
  </si>
  <si>
    <t>TPR</t>
  </si>
  <si>
    <t>AUC</t>
  </si>
  <si>
    <t>LL1</t>
  </si>
  <si>
    <t>Chi-Sq</t>
  </si>
  <si>
    <t>p-value</t>
  </si>
  <si>
    <t>Accuracy</t>
  </si>
  <si>
    <t>alpha</t>
  </si>
  <si>
    <t>sig</t>
  </si>
  <si>
    <t>Cutoff</t>
  </si>
  <si>
    <t>R-Sq (L)</t>
  </si>
  <si>
    <t>R-Sq (CS)</t>
  </si>
  <si>
    <t>R-Sq (N)</t>
  </si>
  <si>
    <t>coeff b</t>
  </si>
  <si>
    <t>s.e.</t>
  </si>
  <si>
    <t>Wald</t>
  </si>
  <si>
    <t>exp(b)</t>
  </si>
  <si>
    <t>lower</t>
  </si>
  <si>
    <t>upper</t>
  </si>
  <si>
    <t>Real Statistics Using Excel</t>
  </si>
  <si>
    <t>Updated</t>
  </si>
  <si>
    <t>Copyright © 2013 - 2023 Charles Zaiontz</t>
  </si>
  <si>
    <t>Finding Logistic Regression Coefficients using Excel’s Solver</t>
  </si>
  <si>
    <t>Converge</t>
  </si>
  <si>
    <t>AIC</t>
  </si>
  <si>
    <t>BIC</t>
  </si>
  <si>
    <t>Data Analysis Tool (Solver option)</t>
  </si>
  <si>
    <t>Data Analysis Tool (Solver initialization)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</si>
</sst>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0" xfId="0" applyBorder="1" applyAlignment="1">
      <alignment horizontal="right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15" fontId="0" fillId="0" borderId="0" xfId="0" applyNumberFormat="1"/>
    <xf numFmtId="0" fontId="4" fillId="0" borderId="0" xfId="0" applyFont="1"/>
    <xf numFmtId="0" fontId="3" fillId="0" borderId="29" xfId="0" applyFont="1" applyBorder="1" applyAlignment="1">
      <alignment horizontal="center"/>
    </xf>
    <xf numFmtId="0" fontId="0" fillId="0" borderId="3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ROC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'Logit 2'!$AK$6:$AK$16</c:f>
              <c:numCache>
                <c:formatCode>General</c:formatCode>
                <c:ptCount val="11"/>
                <c:pt idx="0">
                  <c:v>1</c:v>
                </c:pt>
                <c:pt idx="1">
                  <c:v>0.9072847682119205</c:v>
                </c:pt>
                <c:pt idx="2">
                  <c:v>0.77152317880794707</c:v>
                </c:pt>
                <c:pt idx="3">
                  <c:v>0.50331125827814571</c:v>
                </c:pt>
                <c:pt idx="4">
                  <c:v>0.26158940397350994</c:v>
                </c:pt>
                <c:pt idx="5">
                  <c:v>0.13576158940397354</c:v>
                </c:pt>
                <c:pt idx="6">
                  <c:v>5.9602649006622488E-2</c:v>
                </c:pt>
                <c:pt idx="7">
                  <c:v>2.3178807947019875E-2</c:v>
                </c:pt>
                <c:pt idx="8">
                  <c:v>3.3112582781457123E-3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'Logit 2'!$AL$6:$AL$16</c:f>
              <c:numCache>
                <c:formatCode>General</c:formatCode>
                <c:ptCount val="11"/>
                <c:pt idx="0">
                  <c:v>1</c:v>
                </c:pt>
                <c:pt idx="1">
                  <c:v>0.99344978165938869</c:v>
                </c:pt>
                <c:pt idx="2">
                  <c:v>0.97161572052401746</c:v>
                </c:pt>
                <c:pt idx="3">
                  <c:v>0.90393013100436681</c:v>
                </c:pt>
                <c:pt idx="4">
                  <c:v>0.78820960698689957</c:v>
                </c:pt>
                <c:pt idx="5">
                  <c:v>0.64847161572052403</c:v>
                </c:pt>
                <c:pt idx="6">
                  <c:v>0.46288209606986896</c:v>
                </c:pt>
                <c:pt idx="7">
                  <c:v>0.29912663755458513</c:v>
                </c:pt>
                <c:pt idx="8">
                  <c:v>0.10917030567685593</c:v>
                </c:pt>
                <c:pt idx="9">
                  <c:v>4.5851528384279527E-2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59-4512-B879-626A8C760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429232"/>
        <c:axId val="183432592"/>
      </c:scatterChart>
      <c:valAx>
        <c:axId val="183429232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False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432592"/>
        <c:crosses val="autoZero"/>
        <c:crossBetween val="midCat"/>
      </c:valAx>
      <c:valAx>
        <c:axId val="18343259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True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429232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ROC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'Logit 3'!$AK$6:$AK$16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'Logit 3'!$AL$6:$AL$16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30-4902-A5DE-F69789EF5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429232"/>
        <c:axId val="183432592"/>
      </c:scatterChart>
      <c:valAx>
        <c:axId val="183429232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False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432592"/>
        <c:crosses val="autoZero"/>
        <c:crossBetween val="midCat"/>
      </c:valAx>
      <c:valAx>
        <c:axId val="18343259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True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429232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473075</xdr:colOff>
      <xdr:row>13</xdr:row>
      <xdr:rowOff>60325</xdr:rowOff>
    </xdr:from>
    <xdr:to>
      <xdr:col>32</xdr:col>
      <xdr:colOff>168275</xdr:colOff>
      <xdr:row>28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A43411-6F47-454F-A9D1-53959A868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473075</xdr:colOff>
      <xdr:row>13</xdr:row>
      <xdr:rowOff>60325</xdr:rowOff>
    </xdr:from>
    <xdr:to>
      <xdr:col>32</xdr:col>
      <xdr:colOff>168275</xdr:colOff>
      <xdr:row>28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0FCD4A-DAAE-459B-8AFD-60D40ECA9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Regression%202%2025%20April%202022.xlsx" TargetMode="External"/><Relationship Id="rId1" Type="http://schemas.openxmlformats.org/officeDocument/2006/relationships/externalLinkPath" Target="/Users/user/Documents/A%20Real%20Statistics%202020/Examples/Real%20Statistics%20Examples%20Regression%202%2025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Roaming\Microsoft\AddIns\XRealStats.xlam" TargetMode="External"/><Relationship Id="rId1" Type="http://schemas.openxmlformats.org/officeDocument/2006/relationships/externalLinkPath" Target="/Users/user/AppData/Roaming/Microsoft/AddIns/XRealStats.xla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Logit 1"/>
      <sheetName val="Logit 2"/>
      <sheetName val="Logit 3"/>
      <sheetName val="Logit 3a"/>
      <sheetName val="Logit 4"/>
      <sheetName val="Logit 4a"/>
      <sheetName val="Logit 5"/>
      <sheetName val="Logit 5a"/>
      <sheetName val="Logit 6"/>
      <sheetName val="Logit 6a"/>
      <sheetName val="Logit 7a"/>
      <sheetName val="Hosmer"/>
      <sheetName val="Probit 1"/>
      <sheetName val="Probit 2"/>
      <sheetName val="Norm"/>
      <sheetName val="Binary"/>
      <sheetName val="MLogit 1"/>
      <sheetName val="MLogit 2"/>
      <sheetName val="MLogit 3"/>
      <sheetName val="MLogit 3a"/>
      <sheetName val="MLogit 4"/>
      <sheetName val="MLogit 4a"/>
      <sheetName val="MLogit 4b"/>
      <sheetName val="MLogit 5"/>
      <sheetName val="MLogit 5a"/>
      <sheetName val="MLogit 6"/>
      <sheetName val="OLogit 1"/>
      <sheetName val="OLogit 2"/>
      <sheetName val="OLogit 3"/>
      <sheetName val="Logit A"/>
      <sheetName val="Logit B"/>
      <sheetName val="Logit C"/>
      <sheetName val="Logit D"/>
      <sheetName val="Probit A"/>
      <sheetName val="Probit B"/>
      <sheetName val="Probit C"/>
      <sheetName val="Probit D"/>
      <sheetName val="OLogit A"/>
      <sheetName val="OLogit B"/>
      <sheetName val="PReg 1"/>
      <sheetName val="PReg 2"/>
      <sheetName val="PReg 3"/>
      <sheetName val="Log Lin 1.1"/>
      <sheetName val="Log Lin 1.2"/>
      <sheetName val="Log Lin 1.3"/>
      <sheetName val="Log Lin 1.4"/>
      <sheetName val="Log Lin 2.1"/>
      <sheetName val="Log Lin 2.2"/>
      <sheetName val="Log Lin 2.3"/>
      <sheetName val="Log Lin 2.4"/>
      <sheetName val="Log Lin 2.5"/>
      <sheetName val="Kaplan"/>
      <sheetName val="Kaplan 1"/>
      <sheetName val="Kaplan 2"/>
      <sheetName val="Kaplan 3"/>
      <sheetName val="Kaplan 4"/>
      <sheetName val="Log-Rank"/>
      <sheetName val="Log-Rank 1"/>
      <sheetName val="Cox Reg 1"/>
      <sheetName val="Cox Reg 2"/>
      <sheetName val="Cox Reg 3"/>
      <sheetName val="Cox Reg 4"/>
      <sheetName val="Cox Reg 5"/>
      <sheetName val="Cox Reg 6"/>
      <sheetName val="Cox Reg 7"/>
      <sheetName val="Cox Reg 8"/>
      <sheetName val="IPFP 2.1"/>
      <sheetName val="IPFP 2.1a"/>
      <sheetName val="IPFP 2.2 "/>
      <sheetName val="IPFP 3.1"/>
      <sheetName val="IPFP 3.2"/>
      <sheetName val="IPFP 3.2a"/>
      <sheetName val="Miss 1"/>
      <sheetName val="Miss 2"/>
      <sheetName val="Miss 3"/>
      <sheetName val="Miss 4"/>
      <sheetName val="MI 1"/>
      <sheetName val="MI 2"/>
      <sheetName val="MI 3a"/>
      <sheetName val="MI 3"/>
      <sheetName val="MI 4"/>
      <sheetName val="MI 5"/>
      <sheetName val="MI 6"/>
      <sheetName val="MI 7"/>
      <sheetName val="MI 8"/>
      <sheetName val="MI 8a"/>
      <sheetName val="MI 9"/>
      <sheetName val="MI 9a"/>
      <sheetName val="FIML 1"/>
      <sheetName val="FIML 2"/>
      <sheetName val="FIML 2a"/>
      <sheetName val="FIML 2b"/>
      <sheetName val="FIML 2c"/>
      <sheetName val="FIML 3"/>
      <sheetName val="FIML 3a"/>
      <sheetName val="FIML 3b"/>
      <sheetName val="EM A"/>
      <sheetName val="EM B"/>
      <sheetName val="EM C"/>
      <sheetName val="EM D"/>
      <sheetName val="EM E"/>
      <sheetName val="EM F"/>
      <sheetName val="EM Norm 1"/>
      <sheetName val="EM Norm 2"/>
      <sheetName val="EM Patterns"/>
      <sheetName val="EM Tool"/>
    </sheetNames>
    <sheetDataSet>
      <sheetData sheetId="0"/>
      <sheetData sheetId="1"/>
      <sheetData sheetId="2"/>
      <sheetData sheetId="3"/>
      <sheetData sheetId="4"/>
      <sheetData sheetId="5">
        <row r="6">
          <cell r="AI6">
            <v>1</v>
          </cell>
          <cell r="AJ6">
            <v>1</v>
          </cell>
        </row>
        <row r="7">
          <cell r="AI7">
            <v>0.75827814569536423</v>
          </cell>
          <cell r="AJ7">
            <v>0.88427947598253276</v>
          </cell>
        </row>
        <row r="8">
          <cell r="AI8">
            <v>0.49006622516556286</v>
          </cell>
          <cell r="AJ8">
            <v>0.81659388646288211</v>
          </cell>
        </row>
        <row r="9">
          <cell r="AI9">
            <v>0.36423841059602646</v>
          </cell>
          <cell r="AJ9">
            <v>0.67685589519650657</v>
          </cell>
        </row>
        <row r="10">
          <cell r="AI10">
            <v>0.27152317880794707</v>
          </cell>
          <cell r="AJ10">
            <v>0.67030567685589526</v>
          </cell>
        </row>
        <row r="11">
          <cell r="AI11">
            <v>0.13576158940397354</v>
          </cell>
          <cell r="AJ11">
            <v>0.64847161572052403</v>
          </cell>
        </row>
        <row r="12">
          <cell r="AI12">
            <v>0.13245033112582782</v>
          </cell>
          <cell r="AJ12">
            <v>0.58515283842794763</v>
          </cell>
        </row>
        <row r="13">
          <cell r="AI13">
            <v>0.11258278145695366</v>
          </cell>
          <cell r="AJ13">
            <v>0.39519650655021832</v>
          </cell>
        </row>
        <row r="14">
          <cell r="AI14">
            <v>0.11258278145695366</v>
          </cell>
          <cell r="AJ14">
            <v>0.3493449781659389</v>
          </cell>
        </row>
        <row r="15">
          <cell r="AI15">
            <v>3.6423841059602613E-2</v>
          </cell>
          <cell r="AJ15">
            <v>0.16375545851528384</v>
          </cell>
        </row>
        <row r="16">
          <cell r="AI16">
            <v>0</v>
          </cell>
          <cell r="AJ16">
            <v>0</v>
          </cell>
        </row>
        <row r="33">
          <cell r="AI33">
            <v>1</v>
          </cell>
          <cell r="AJ33">
            <v>1</v>
          </cell>
        </row>
        <row r="34">
          <cell r="AI34">
            <v>0.9072847682119205</v>
          </cell>
          <cell r="AJ34">
            <v>0.99344978165938869</v>
          </cell>
        </row>
        <row r="35">
          <cell r="AI35">
            <v>0.77152317880794707</v>
          </cell>
          <cell r="AJ35">
            <v>0.97161572052401746</v>
          </cell>
        </row>
        <row r="36">
          <cell r="AI36">
            <v>0.50331125827814571</v>
          </cell>
          <cell r="AJ36">
            <v>0.90393013100436681</v>
          </cell>
        </row>
        <row r="37">
          <cell r="AI37">
            <v>0.26158940397350994</v>
          </cell>
          <cell r="AJ37">
            <v>0.78820960698689957</v>
          </cell>
        </row>
        <row r="38">
          <cell r="AI38">
            <v>0.13576158940397354</v>
          </cell>
          <cell r="AJ38">
            <v>0.64847161572052403</v>
          </cell>
        </row>
        <row r="39">
          <cell r="AI39">
            <v>5.9602649006622488E-2</v>
          </cell>
          <cell r="AJ39">
            <v>0.46288209606986896</v>
          </cell>
        </row>
        <row r="40">
          <cell r="AI40">
            <v>2.3178807947019875E-2</v>
          </cell>
          <cell r="AJ40">
            <v>0.29912663755458513</v>
          </cell>
        </row>
        <row r="41">
          <cell r="AI41">
            <v>3.3112582781457123E-3</v>
          </cell>
          <cell r="AJ41">
            <v>0.10917030567685593</v>
          </cell>
        </row>
        <row r="42">
          <cell r="AI42">
            <v>0</v>
          </cell>
          <cell r="AJ42">
            <v>4.5851528384279527E-2</v>
          </cell>
        </row>
        <row r="43">
          <cell r="AI43">
            <v>0</v>
          </cell>
          <cell r="AJ4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Prime"/>
      <sheetName val="MSSD"/>
      <sheetName val="Dict"/>
      <sheetName val="ADict"/>
      <sheetName val="XRealStats"/>
    </sheetNames>
    <definedNames>
      <definedName name="DEsign"/>
      <definedName name="DIAG"/>
      <definedName name="SelectCol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4">
          <cell r="AK4">
            <v>1</v>
          </cell>
          <cell r="AL4">
            <v>1</v>
          </cell>
        </row>
        <row r="5">
          <cell r="AK5">
            <v>0.9072847682119205</v>
          </cell>
          <cell r="AL5">
            <v>0.99344978165938869</v>
          </cell>
        </row>
        <row r="6">
          <cell r="AK6">
            <v>0.77152317880794707</v>
          </cell>
          <cell r="AL6">
            <v>0.97161572052401746</v>
          </cell>
        </row>
        <row r="7">
          <cell r="AK7">
            <v>0.50331125827814571</v>
          </cell>
          <cell r="AL7">
            <v>0.90393013100436681</v>
          </cell>
        </row>
        <row r="8">
          <cell r="AK8">
            <v>0.26158940397350994</v>
          </cell>
          <cell r="AL8">
            <v>0.78820960698689957</v>
          </cell>
        </row>
        <row r="9">
          <cell r="AK9">
            <v>0.13576158940397354</v>
          </cell>
          <cell r="AL9">
            <v>0.64847161572052403</v>
          </cell>
        </row>
        <row r="10">
          <cell r="AK10">
            <v>5.9602649006622488E-2</v>
          </cell>
          <cell r="AL10">
            <v>0.46288209606986896</v>
          </cell>
        </row>
        <row r="11">
          <cell r="AK11">
            <v>2.3178807947019875E-2</v>
          </cell>
          <cell r="AL11">
            <v>0.29912663755458513</v>
          </cell>
        </row>
        <row r="12">
          <cell r="AK12">
            <v>3.3112582781457123E-3</v>
          </cell>
          <cell r="AL12">
            <v>0.10917030567685593</v>
          </cell>
        </row>
        <row r="13">
          <cell r="AK13">
            <v>0</v>
          </cell>
          <cell r="AL13">
            <v>4.5851528384279527E-2</v>
          </cell>
        </row>
        <row r="14">
          <cell r="AK14">
            <v>0</v>
          </cell>
          <cell r="AL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27CB3-8E68-42A4-94C6-57C01616D6EB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76</v>
      </c>
    </row>
    <row r="2" spans="1:2" x14ac:dyDescent="0.35">
      <c r="A2" t="s">
        <v>79</v>
      </c>
    </row>
    <row r="4" spans="1:2" x14ac:dyDescent="0.35">
      <c r="A4" t="s">
        <v>77</v>
      </c>
      <c r="B4" s="42">
        <v>44998</v>
      </c>
    </row>
    <row r="6" spans="1:2" x14ac:dyDescent="0.35">
      <c r="A6" s="43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A81FE-4C0B-485B-ADB0-388132D09A99}">
  <sheetPr codeName="Sheet182"/>
  <dimension ref="A1:AK25"/>
  <sheetViews>
    <sheetView workbookViewId="0"/>
  </sheetViews>
  <sheetFormatPr defaultColWidth="9.1796875" defaultRowHeight="14.5" x14ac:dyDescent="0.35"/>
  <cols>
    <col min="2" max="2" width="8.81640625" customWidth="1"/>
    <col min="4" max="4" width="5.54296875" customWidth="1"/>
    <col min="6" max="6" width="9.26953125" customWidth="1"/>
    <col min="8" max="8" width="5.54296875" customWidth="1"/>
    <col min="11" max="12" width="9.1796875" customWidth="1"/>
    <col min="13" max="13" width="7.7265625" customWidth="1"/>
    <col min="14" max="14" width="4.54296875" customWidth="1"/>
    <col min="15" max="15" width="9.26953125" customWidth="1"/>
    <col min="18" max="18" width="2.54296875" customWidth="1"/>
    <col min="23" max="23" width="3.26953125" customWidth="1"/>
    <col min="28" max="28" width="3.453125" customWidth="1"/>
    <col min="31" max="31" width="9.81640625" customWidth="1"/>
    <col min="32" max="32" width="9.26953125" customWidth="1"/>
    <col min="33" max="33" width="3.81640625" customWidth="1"/>
    <col min="34" max="37" width="10.453125" customWidth="1"/>
    <col min="38" max="38" width="4.81640625" customWidth="1"/>
    <col min="43" max="43" width="4.26953125" customWidth="1"/>
    <col min="48" max="48" width="4.54296875" customWidth="1"/>
    <col min="53" max="53" width="4.1796875" customWidth="1"/>
    <col min="58" max="58" width="4.54296875" customWidth="1"/>
    <col min="63" max="63" width="4.26953125" customWidth="1"/>
    <col min="68" max="68" width="4.453125" customWidth="1"/>
    <col min="73" max="73" width="4.453125" customWidth="1"/>
    <col min="78" max="78" width="4" customWidth="1"/>
  </cols>
  <sheetData>
    <row r="1" spans="1:37" x14ac:dyDescent="0.35">
      <c r="A1" s="1" t="s">
        <v>0</v>
      </c>
      <c r="AE1" t="s">
        <v>1</v>
      </c>
    </row>
    <row r="2" spans="1:37" x14ac:dyDescent="0.35">
      <c r="AE2" t="s">
        <v>2</v>
      </c>
      <c r="AF2">
        <v>0.98019766125822028</v>
      </c>
    </row>
    <row r="3" spans="1:37" s="2" customFormat="1" x14ac:dyDescent="0.35">
      <c r="A3" s="2" t="s">
        <v>3</v>
      </c>
      <c r="B3" s="2" t="s">
        <v>4</v>
      </c>
      <c r="C3" s="2" t="s">
        <v>5</v>
      </c>
      <c r="E3" s="2" t="str">
        <f t="shared" ref="E3:E13" si="0">A3</f>
        <v>Rems</v>
      </c>
      <c r="F3" s="2" t="s">
        <v>6</v>
      </c>
      <c r="G3" s="2" t="s">
        <v>7</v>
      </c>
      <c r="I3" s="2" t="s">
        <v>8</v>
      </c>
      <c r="J3" s="3" t="s">
        <v>9</v>
      </c>
      <c r="K3" s="3" t="s">
        <v>10</v>
      </c>
      <c r="L3" s="3" t="s">
        <v>11</v>
      </c>
      <c r="N3"/>
      <c r="O3" s="3" t="s">
        <v>12</v>
      </c>
      <c r="P3"/>
      <c r="Q3"/>
      <c r="R3"/>
      <c r="S3"/>
      <c r="T3"/>
      <c r="U3"/>
      <c r="V3"/>
      <c r="W3"/>
      <c r="X3"/>
      <c r="AE3" t="s">
        <v>13</v>
      </c>
      <c r="AF3">
        <v>0.96078745513608477</v>
      </c>
      <c r="AG3"/>
      <c r="AH3"/>
      <c r="AI3"/>
      <c r="AJ3"/>
      <c r="AK3"/>
    </row>
    <row r="4" spans="1:37" x14ac:dyDescent="0.35">
      <c r="A4">
        <v>50</v>
      </c>
      <c r="B4" s="4">
        <v>21</v>
      </c>
      <c r="C4" s="5">
        <v>0</v>
      </c>
      <c r="E4" s="2">
        <f t="shared" si="0"/>
        <v>50</v>
      </c>
      <c r="F4" s="4">
        <f t="shared" ref="F4:F14" si="1">B4/(B4+C4)</f>
        <v>1</v>
      </c>
      <c r="G4" s="6" t="str">
        <f t="shared" ref="G4:G14" si="2">IF(F4 = 1,"∞",F4/(1-F4))</f>
        <v>∞</v>
      </c>
      <c r="H4" s="2"/>
      <c r="I4" s="2">
        <f>E4</f>
        <v>50</v>
      </c>
      <c r="J4" s="7">
        <f>F4</f>
        <v>1</v>
      </c>
      <c r="K4" s="8">
        <f>1/(1+EXP(-$O$5-$O$6*I4))</f>
        <v>0.98395198029490827</v>
      </c>
      <c r="L4" s="9">
        <f t="shared" ref="L4:L13" si="3">(B4+C4)*(J4*LN(K4)+(1-J4)*LN(1-K4))</f>
        <v>-0.33974185631341247</v>
      </c>
      <c r="AE4" t="s">
        <v>14</v>
      </c>
      <c r="AF4">
        <v>0.95294494616330172</v>
      </c>
    </row>
    <row r="5" spans="1:37" x14ac:dyDescent="0.35">
      <c r="A5">
        <f>A4+100</f>
        <v>150</v>
      </c>
      <c r="B5" s="10">
        <v>29</v>
      </c>
      <c r="C5" s="11">
        <v>1</v>
      </c>
      <c r="E5" s="2">
        <f t="shared" si="0"/>
        <v>150</v>
      </c>
      <c r="F5" s="10">
        <f t="shared" si="1"/>
        <v>0.96666666666666667</v>
      </c>
      <c r="G5" s="12">
        <f t="shared" si="2"/>
        <v>29.000000000000007</v>
      </c>
      <c r="H5" s="2"/>
      <c r="I5" s="2">
        <f t="shared" ref="I5:J13" si="4">E5</f>
        <v>150</v>
      </c>
      <c r="J5" s="13">
        <f t="shared" si="4"/>
        <v>0.96666666666666667</v>
      </c>
      <c r="K5" s="2">
        <f t="shared" ref="K5:K13" si="5">1/(1+EXP(-$O$5-$O$6*I5))</f>
        <v>0.96753388507077187</v>
      </c>
      <c r="L5" s="12">
        <f t="shared" si="3"/>
        <v>-4.3846984606260797</v>
      </c>
      <c r="N5" t="s">
        <v>15</v>
      </c>
      <c r="O5" s="14">
        <v>4.4767106944921951</v>
      </c>
      <c r="AE5" t="s">
        <v>16</v>
      </c>
      <c r="AF5">
        <v>0.48383403651561618</v>
      </c>
    </row>
    <row r="6" spans="1:37" ht="15" thickBot="1" x14ac:dyDescent="0.4">
      <c r="A6">
        <f t="shared" ref="A6:A13" si="6">A5+100</f>
        <v>250</v>
      </c>
      <c r="B6" s="10">
        <v>87</v>
      </c>
      <c r="C6" s="11">
        <v>6</v>
      </c>
      <c r="E6" s="2">
        <f t="shared" si="0"/>
        <v>250</v>
      </c>
      <c r="F6" s="10">
        <f t="shared" si="1"/>
        <v>0.93548387096774188</v>
      </c>
      <c r="G6" s="12">
        <f t="shared" si="2"/>
        <v>14.499999999999988</v>
      </c>
      <c r="H6" s="2"/>
      <c r="I6" s="2">
        <f t="shared" si="4"/>
        <v>250</v>
      </c>
      <c r="J6" s="13">
        <f t="shared" si="4"/>
        <v>0.93548387096774188</v>
      </c>
      <c r="K6" s="2">
        <f t="shared" si="5"/>
        <v>0.93542148257003155</v>
      </c>
      <c r="L6" s="12">
        <f t="shared" si="3"/>
        <v>-22.247192721995795</v>
      </c>
      <c r="N6" t="s">
        <v>17</v>
      </c>
      <c r="O6" s="15">
        <v>-7.214381164948663E-3</v>
      </c>
      <c r="AE6" s="16" t="s">
        <v>18</v>
      </c>
      <c r="AF6" s="16">
        <v>7</v>
      </c>
    </row>
    <row r="7" spans="1:37" x14ac:dyDescent="0.35">
      <c r="A7">
        <f t="shared" si="6"/>
        <v>350</v>
      </c>
      <c r="B7" s="10">
        <v>75</v>
      </c>
      <c r="C7" s="11">
        <v>11</v>
      </c>
      <c r="E7" s="2">
        <f t="shared" si="0"/>
        <v>350</v>
      </c>
      <c r="F7" s="10">
        <f t="shared" si="1"/>
        <v>0.87209302325581395</v>
      </c>
      <c r="G7" s="12">
        <f t="shared" si="2"/>
        <v>6.8181818181818175</v>
      </c>
      <c r="H7" s="2"/>
      <c r="I7" s="2">
        <f t="shared" si="4"/>
        <v>350</v>
      </c>
      <c r="J7" s="13">
        <f t="shared" si="4"/>
        <v>0.87209302325581395</v>
      </c>
      <c r="K7" s="2">
        <f t="shared" si="5"/>
        <v>0.87562941771495062</v>
      </c>
      <c r="L7" s="12">
        <f t="shared" si="3"/>
        <v>-32.890309389721565</v>
      </c>
    </row>
    <row r="8" spans="1:37" ht="15" thickBot="1" x14ac:dyDescent="0.4">
      <c r="A8">
        <f t="shared" si="6"/>
        <v>450</v>
      </c>
      <c r="B8" s="10">
        <v>85</v>
      </c>
      <c r="C8" s="11">
        <v>23</v>
      </c>
      <c r="E8" s="2">
        <f t="shared" si="0"/>
        <v>450</v>
      </c>
      <c r="F8" s="10">
        <f t="shared" si="1"/>
        <v>0.78703703703703709</v>
      </c>
      <c r="G8" s="12">
        <f t="shared" si="2"/>
        <v>3.6956521739130448</v>
      </c>
      <c r="H8" s="2"/>
      <c r="I8" s="2">
        <f t="shared" si="4"/>
        <v>450</v>
      </c>
      <c r="J8" s="13">
        <f t="shared" si="4"/>
        <v>0.78703703703703709</v>
      </c>
      <c r="K8" s="2">
        <f t="shared" si="5"/>
        <v>0.77386043191826093</v>
      </c>
      <c r="L8" s="12">
        <f t="shared" si="3"/>
        <v>-55.982785070586239</v>
      </c>
      <c r="AE8" t="s">
        <v>19</v>
      </c>
    </row>
    <row r="9" spans="1:37" x14ac:dyDescent="0.35">
      <c r="A9">
        <f t="shared" si="6"/>
        <v>550</v>
      </c>
      <c r="B9" s="10">
        <v>64</v>
      </c>
      <c r="C9" s="11">
        <v>38</v>
      </c>
      <c r="E9" s="2">
        <f t="shared" si="0"/>
        <v>550</v>
      </c>
      <c r="F9" s="10">
        <f t="shared" si="1"/>
        <v>0.62745098039215685</v>
      </c>
      <c r="G9" s="12">
        <f t="shared" si="2"/>
        <v>1.6842105263157894</v>
      </c>
      <c r="H9" s="2"/>
      <c r="I9" s="2">
        <f t="shared" si="4"/>
        <v>550</v>
      </c>
      <c r="J9" s="13">
        <f t="shared" si="4"/>
        <v>0.62745098039215685</v>
      </c>
      <c r="K9" s="2">
        <f t="shared" si="5"/>
        <v>0.62452537145457221</v>
      </c>
      <c r="L9" s="12">
        <f t="shared" si="3"/>
        <v>-67.352299031399639</v>
      </c>
      <c r="AE9" s="17"/>
      <c r="AF9" s="17" t="s">
        <v>20</v>
      </c>
      <c r="AG9" s="17" t="s">
        <v>21</v>
      </c>
      <c r="AH9" s="17" t="s">
        <v>22</v>
      </c>
      <c r="AI9" s="17" t="s">
        <v>23</v>
      </c>
      <c r="AJ9" s="17" t="s">
        <v>24</v>
      </c>
    </row>
    <row r="10" spans="1:37" x14ac:dyDescent="0.35">
      <c r="A10">
        <f t="shared" si="6"/>
        <v>650</v>
      </c>
      <c r="B10" s="10">
        <v>53</v>
      </c>
      <c r="C10" s="11">
        <v>73</v>
      </c>
      <c r="E10" s="2">
        <f t="shared" si="0"/>
        <v>650</v>
      </c>
      <c r="F10" s="10">
        <f t="shared" si="1"/>
        <v>0.42063492063492064</v>
      </c>
      <c r="G10" s="12">
        <f t="shared" si="2"/>
        <v>0.7260273972602741</v>
      </c>
      <c r="H10" s="2"/>
      <c r="I10" s="2">
        <f t="shared" si="4"/>
        <v>650</v>
      </c>
      <c r="J10" s="13">
        <f t="shared" si="4"/>
        <v>0.42063492063492064</v>
      </c>
      <c r="K10" s="2">
        <f t="shared" si="5"/>
        <v>0.44704013036647189</v>
      </c>
      <c r="L10" s="12">
        <f t="shared" si="3"/>
        <v>-85.920965243919539</v>
      </c>
      <c r="AE10" t="s">
        <v>25</v>
      </c>
      <c r="AF10">
        <v>1</v>
      </c>
      <c r="AG10">
        <v>28.679074551422662</v>
      </c>
      <c r="AH10">
        <v>28.679074551422662</v>
      </c>
      <c r="AI10">
        <v>122.5102143294242</v>
      </c>
      <c r="AJ10">
        <v>1.0486299346429363E-4</v>
      </c>
    </row>
    <row r="11" spans="1:37" x14ac:dyDescent="0.35">
      <c r="A11">
        <f t="shared" si="6"/>
        <v>750</v>
      </c>
      <c r="B11" s="10">
        <v>31</v>
      </c>
      <c r="C11" s="11">
        <v>81</v>
      </c>
      <c r="E11" s="2">
        <f t="shared" si="0"/>
        <v>750</v>
      </c>
      <c r="F11" s="10">
        <f t="shared" si="1"/>
        <v>0.2767857142857143</v>
      </c>
      <c r="G11" s="12">
        <f t="shared" si="2"/>
        <v>0.38271604938271608</v>
      </c>
      <c r="H11" s="2"/>
      <c r="I11" s="2">
        <f t="shared" si="4"/>
        <v>750</v>
      </c>
      <c r="J11" s="13">
        <f t="shared" si="4"/>
        <v>0.2767857142857143</v>
      </c>
      <c r="K11" s="2">
        <f t="shared" si="5"/>
        <v>0.28209868086119477</v>
      </c>
      <c r="L11" s="12">
        <f t="shared" si="3"/>
        <v>-66.075724241135234</v>
      </c>
      <c r="AE11" t="s">
        <v>26</v>
      </c>
      <c r="AF11">
        <v>5</v>
      </c>
      <c r="AG11">
        <v>1.1704768744549732</v>
      </c>
      <c r="AH11">
        <v>0.23409537489099463</v>
      </c>
    </row>
    <row r="12" spans="1:37" ht="15" thickBot="1" x14ac:dyDescent="0.4">
      <c r="A12">
        <f t="shared" si="6"/>
        <v>850</v>
      </c>
      <c r="B12" s="10">
        <v>10</v>
      </c>
      <c r="C12" s="11">
        <v>41</v>
      </c>
      <c r="E12" s="2">
        <f t="shared" si="0"/>
        <v>850</v>
      </c>
      <c r="F12" s="10">
        <f t="shared" si="1"/>
        <v>0.19607843137254902</v>
      </c>
      <c r="G12" s="12">
        <f t="shared" si="2"/>
        <v>0.24390243902439024</v>
      </c>
      <c r="H12" s="2"/>
      <c r="I12" s="2">
        <f t="shared" si="4"/>
        <v>850</v>
      </c>
      <c r="J12" s="13">
        <f t="shared" si="4"/>
        <v>0.19607843137254902</v>
      </c>
      <c r="K12" s="2">
        <f t="shared" si="5"/>
        <v>0.16036520341930324</v>
      </c>
      <c r="L12" s="12">
        <f t="shared" si="3"/>
        <v>-25.46933358771334</v>
      </c>
      <c r="AE12" s="16" t="s">
        <v>27</v>
      </c>
      <c r="AF12" s="16">
        <v>6</v>
      </c>
      <c r="AG12" s="16">
        <v>29.849551425877635</v>
      </c>
      <c r="AH12" s="16"/>
      <c r="AI12" s="16"/>
      <c r="AJ12" s="16"/>
    </row>
    <row r="13" spans="1:37" ht="15" thickBot="1" x14ac:dyDescent="0.4">
      <c r="A13">
        <f t="shared" si="6"/>
        <v>950</v>
      </c>
      <c r="B13" s="18">
        <v>3</v>
      </c>
      <c r="C13" s="19">
        <v>28</v>
      </c>
      <c r="E13" s="2">
        <f t="shared" si="0"/>
        <v>950</v>
      </c>
      <c r="F13" s="18">
        <f t="shared" si="1"/>
        <v>9.6774193548387094E-2</v>
      </c>
      <c r="G13" s="20">
        <f t="shared" si="2"/>
        <v>0.10714285714285714</v>
      </c>
      <c r="H13" s="2"/>
      <c r="I13" s="2">
        <f t="shared" si="4"/>
        <v>950</v>
      </c>
      <c r="J13" s="21">
        <f t="shared" si="4"/>
        <v>9.6774193548387094E-2</v>
      </c>
      <c r="K13" s="22">
        <f t="shared" si="5"/>
        <v>8.4947236480021129E-2</v>
      </c>
      <c r="L13" s="20">
        <f t="shared" si="3"/>
        <v>-9.8828342965478342</v>
      </c>
    </row>
    <row r="14" spans="1:37" x14ac:dyDescent="0.35">
      <c r="B14">
        <f>SUM(B4:B13)</f>
        <v>458</v>
      </c>
      <c r="C14">
        <f>SUM(C4:C13)</f>
        <v>302</v>
      </c>
      <c r="F14">
        <f t="shared" si="1"/>
        <v>0.60263157894736841</v>
      </c>
      <c r="G14" s="2">
        <f t="shared" si="2"/>
        <v>1.5165562913907285</v>
      </c>
      <c r="H14" s="2"/>
      <c r="I14" s="2"/>
      <c r="J14" s="2"/>
      <c r="K14" s="2"/>
      <c r="L14" s="2">
        <f>SUM(L4:L13)</f>
        <v>-370.54588389995865</v>
      </c>
      <c r="AE14" s="17"/>
      <c r="AF14" s="17" t="s">
        <v>28</v>
      </c>
      <c r="AG14" s="17" t="s">
        <v>16</v>
      </c>
      <c r="AH14" s="17" t="s">
        <v>29</v>
      </c>
      <c r="AI14" s="17" t="s">
        <v>30</v>
      </c>
      <c r="AJ14" s="17" t="s">
        <v>31</v>
      </c>
      <c r="AK14" s="17" t="s">
        <v>32</v>
      </c>
    </row>
    <row r="15" spans="1:37" x14ac:dyDescent="0.35">
      <c r="AE15" t="s">
        <v>33</v>
      </c>
      <c r="AF15">
        <v>21.389792432310717</v>
      </c>
      <c r="AG15">
        <v>1.8833382481789414</v>
      </c>
      <c r="AH15">
        <v>11.357382272140002</v>
      </c>
      <c r="AI15">
        <v>9.2576145640744042E-5</v>
      </c>
      <c r="AJ15">
        <v>16.548517342950841</v>
      </c>
      <c r="AK15">
        <v>26.231067521670592</v>
      </c>
    </row>
    <row r="16" spans="1:37" ht="15" thickBot="1" x14ac:dyDescent="0.4">
      <c r="B16" s="23" t="s">
        <v>34</v>
      </c>
      <c r="C16" s="2"/>
      <c r="AE16" s="16" t="s">
        <v>35</v>
      </c>
      <c r="AF16" s="16">
        <v>-10.120536856070466</v>
      </c>
      <c r="AG16" s="16">
        <v>0.91436038317775925</v>
      </c>
      <c r="AH16" s="16">
        <v>-11.068433237338706</v>
      </c>
      <c r="AI16" s="16">
        <v>1.0486299346429363E-4</v>
      </c>
      <c r="AJ16" s="16">
        <v>-12.470975047434296</v>
      </c>
      <c r="AK16" s="16">
        <v>-7.7700986647066355</v>
      </c>
    </row>
    <row r="18" spans="1:2" x14ac:dyDescent="0.35">
      <c r="A18" t="s">
        <v>36</v>
      </c>
    </row>
    <row r="20" spans="1:2" x14ac:dyDescent="0.35">
      <c r="A20" t="s">
        <v>37</v>
      </c>
      <c r="B20" s="14">
        <f>O5</f>
        <v>4.4767106944921951</v>
      </c>
    </row>
    <row r="21" spans="1:2" x14ac:dyDescent="0.35">
      <c r="A21" t="s">
        <v>38</v>
      </c>
      <c r="B21" s="15">
        <f>O6</f>
        <v>-7.214381164948663E-3</v>
      </c>
    </row>
    <row r="23" spans="1:2" x14ac:dyDescent="0.35">
      <c r="A23" t="s">
        <v>8</v>
      </c>
      <c r="B23" s="14">
        <v>380</v>
      </c>
    </row>
    <row r="24" spans="1:2" x14ac:dyDescent="0.35">
      <c r="A24" t="s">
        <v>39</v>
      </c>
      <c r="B24" s="24">
        <f>B20+B23*B21</f>
        <v>1.7352458518117033</v>
      </c>
    </row>
    <row r="25" spans="1:2" x14ac:dyDescent="0.35">
      <c r="A25" t="s">
        <v>10</v>
      </c>
      <c r="B25" s="15">
        <f>1/(1+EXP(-B24))</f>
        <v>0.85008219299194931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4EF32-7F0A-4FCD-804C-A4207907FAE2}">
  <sheetPr codeName="Sheet2"/>
  <dimension ref="A1:AM20"/>
  <sheetViews>
    <sheetView workbookViewId="0"/>
  </sheetViews>
  <sheetFormatPr defaultRowHeight="14.5" x14ac:dyDescent="0.35"/>
  <cols>
    <col min="1" max="1" width="5.90625" customWidth="1"/>
    <col min="2" max="3" width="8" customWidth="1"/>
    <col min="4" max="4" width="3.6328125" customWidth="1"/>
    <col min="15" max="15" width="3.6328125" customWidth="1"/>
    <col min="16" max="16" width="0" hidden="1" customWidth="1"/>
    <col min="18" max="18" width="3.6328125" customWidth="1"/>
    <col min="21" max="21" width="3.6328125" customWidth="1"/>
  </cols>
  <sheetData>
    <row r="1" spans="1:39" x14ac:dyDescent="0.35">
      <c r="A1" s="1" t="s">
        <v>83</v>
      </c>
    </row>
    <row r="3" spans="1:39" x14ac:dyDescent="0.35">
      <c r="A3" s="2" t="s">
        <v>3</v>
      </c>
      <c r="B3" s="2" t="s">
        <v>4</v>
      </c>
      <c r="C3" s="2" t="s">
        <v>5</v>
      </c>
      <c r="E3" t="s">
        <v>40</v>
      </c>
      <c r="AA3" t="s">
        <v>41</v>
      </c>
      <c r="AF3" t="s">
        <v>42</v>
      </c>
    </row>
    <row r="4" spans="1:39" ht="15" thickBot="1" x14ac:dyDescent="0.4">
      <c r="A4">
        <v>50</v>
      </c>
      <c r="B4" s="4">
        <v>21</v>
      </c>
      <c r="C4" s="5">
        <v>0</v>
      </c>
    </row>
    <row r="5" spans="1:39" ht="15" thickTop="1" x14ac:dyDescent="0.35">
      <c r="A5">
        <f>A4+100</f>
        <v>150</v>
      </c>
      <c r="B5" s="10">
        <v>29</v>
      </c>
      <c r="C5" s="11">
        <v>1</v>
      </c>
      <c r="E5" s="44" t="str">
        <f>A3</f>
        <v>Rems</v>
      </c>
      <c r="F5" s="44" t="str">
        <f t="shared" ref="F5:G15" si="0">B3</f>
        <v>Survived</v>
      </c>
      <c r="G5" s="44" t="str">
        <f t="shared" si="0"/>
        <v>Died</v>
      </c>
      <c r="H5" s="44" t="s">
        <v>27</v>
      </c>
      <c r="I5" s="44" t="s">
        <v>43</v>
      </c>
      <c r="J5" s="44" t="s">
        <v>44</v>
      </c>
      <c r="K5" s="44" t="s">
        <v>45</v>
      </c>
      <c r="L5" s="44" t="s">
        <v>46</v>
      </c>
      <c r="M5" s="44" t="s">
        <v>11</v>
      </c>
      <c r="N5" s="44" t="s">
        <v>47</v>
      </c>
      <c r="Q5" t="s">
        <v>48</v>
      </c>
      <c r="S5" t="s">
        <v>49</v>
      </c>
      <c r="T5" s="26">
        <f>F16*LN(F16/H16)+G16*LN(G16/H16)</f>
        <v>-510.66696372157895</v>
      </c>
      <c r="V5" t="s">
        <v>50</v>
      </c>
      <c r="Y5" t="s">
        <v>80</v>
      </c>
      <c r="AB5" s="3" t="s">
        <v>51</v>
      </c>
      <c r="AC5" s="3" t="s">
        <v>52</v>
      </c>
      <c r="AF5" s="25" t="s">
        <v>44</v>
      </c>
      <c r="AG5" s="25" t="s">
        <v>53</v>
      </c>
      <c r="AH5" s="25" t="s">
        <v>54</v>
      </c>
      <c r="AI5" s="25" t="s">
        <v>55</v>
      </c>
      <c r="AJ5" s="25" t="s">
        <v>56</v>
      </c>
      <c r="AK5" s="25" t="s">
        <v>57</v>
      </c>
      <c r="AL5" s="25" t="s">
        <v>58</v>
      </c>
      <c r="AM5" s="25" t="s">
        <v>59</v>
      </c>
    </row>
    <row r="6" spans="1:39" x14ac:dyDescent="0.35">
      <c r="A6">
        <f t="shared" ref="A6:A13" si="1">A5+100</f>
        <v>250</v>
      </c>
      <c r="B6" s="10">
        <v>87</v>
      </c>
      <c r="C6" s="11">
        <v>6</v>
      </c>
      <c r="E6">
        <f t="shared" ref="E6:E15" si="2">A4</f>
        <v>50</v>
      </c>
      <c r="F6" s="27">
        <f t="shared" si="0"/>
        <v>21</v>
      </c>
      <c r="G6">
        <f t="shared" si="0"/>
        <v>0</v>
      </c>
      <c r="H6" s="28">
        <f>F6+G6</f>
        <v>21</v>
      </c>
      <c r="I6">
        <f>IF(H6=0,"",F6/H6)</f>
        <v>1</v>
      </c>
      <c r="J6">
        <f>1/(1+EXP(-$Q$7-$Q$8*E6))</f>
        <v>0.98400343854200378</v>
      </c>
      <c r="K6" s="29">
        <f>H6*J6</f>
        <v>20.664072209382081</v>
      </c>
      <c r="L6" s="30">
        <f>H6-K6</f>
        <v>0.33592779061791944</v>
      </c>
      <c r="M6" s="29">
        <f>IFERROR(H6*(I6*LN(J6)+(1-I6)*LN(1-J6)),0)</f>
        <v>-0.33864363713740009</v>
      </c>
      <c r="N6" s="30">
        <f>100*IF(J6&gt;=$AB$12,F6/H6,G6/H6)</f>
        <v>100</v>
      </c>
      <c r="S6" t="s">
        <v>60</v>
      </c>
      <c r="T6" s="31">
        <f>M16</f>
        <v>-370.54594024214236</v>
      </c>
      <c r="V6" s="29">
        <f t="array" ref="V6:W7">MINVERSE(MMULT(TRANSPOSE([2]!DEsign(E6:E15)),J6:J15*(1-J6:J15)*H6:H15*[2]!DEsign(E6:E15)))</f>
        <v>0.11178017626020824</v>
      </c>
      <c r="W6" s="30">
        <v>-1.7606274252311439E-4</v>
      </c>
      <c r="Y6" s="26">
        <f t="array" ref="Y6:Y7">MMULT(TRANSPOSE([2]!DEsign(E6:E15)),H6:H15*(I6:I15-J6:J15))</f>
        <v>-3.1756541266631411E-2</v>
      </c>
      <c r="AA6" t="s">
        <v>45</v>
      </c>
      <c r="AB6" s="29">
        <f>SUMIF(J6:J15,"&gt;="&amp;AB12,F6:F15)</f>
        <v>361</v>
      </c>
      <c r="AC6" s="30">
        <f>SUMIF(J6:J15,"&gt;="&amp;AB12,G6:G15)</f>
        <v>79</v>
      </c>
      <c r="AD6">
        <f>AB6+AC6</f>
        <v>440</v>
      </c>
      <c r="AI6">
        <v>0</v>
      </c>
      <c r="AJ6">
        <v>0</v>
      </c>
      <c r="AK6">
        <f>1-AI6/AI$16</f>
        <v>1</v>
      </c>
      <c r="AL6">
        <f>1-AJ6/AJ$16</f>
        <v>1</v>
      </c>
      <c r="AM6">
        <f>(AK6-AK7)*AL6</f>
        <v>9.27152317880795E-2</v>
      </c>
    </row>
    <row r="7" spans="1:39" x14ac:dyDescent="0.35">
      <c r="A7">
        <f t="shared" si="1"/>
        <v>350</v>
      </c>
      <c r="B7" s="10">
        <v>75</v>
      </c>
      <c r="C7" s="11">
        <v>11</v>
      </c>
      <c r="E7">
        <f t="shared" si="2"/>
        <v>150</v>
      </c>
      <c r="F7" s="27">
        <f t="shared" si="0"/>
        <v>29</v>
      </c>
      <c r="G7">
        <f t="shared" si="0"/>
        <v>1</v>
      </c>
      <c r="H7" s="28">
        <f t="shared" ref="H7:H15" si="3">F7+G7</f>
        <v>30</v>
      </c>
      <c r="I7">
        <f t="shared" ref="I7:I15" si="4">IF(H7=0,"",F7/H7)</f>
        <v>0.96666666666666667</v>
      </c>
      <c r="J7">
        <f t="shared" ref="J7:J15" si="5">1/(1+EXP(-$Q$7-$Q$8*E7))</f>
        <v>0.96761878025963188</v>
      </c>
      <c r="K7" s="27">
        <f t="shared" ref="K7:K15" si="6">H7*J7</f>
        <v>29.028563407788958</v>
      </c>
      <c r="L7" s="28">
        <f t="shared" ref="L7:L15" si="7">H7-K7</f>
        <v>0.97143659221104173</v>
      </c>
      <c r="M7" s="27">
        <f t="shared" ref="M7:M15" si="8">IFERROR(H7*(I7*LN(J7)+(1-I7)*LN(1-J7)),0)</f>
        <v>-4.3847723101518765</v>
      </c>
      <c r="N7" s="28">
        <f t="shared" ref="N7:N15" si="9">100*IF(J7&gt;=$AB$12,F7/H7,G7/H7)</f>
        <v>96.666666666666671</v>
      </c>
      <c r="Q7" s="26">
        <v>4.4802536165656299</v>
      </c>
      <c r="V7" s="32">
        <v>-1.7606274252311433E-4</v>
      </c>
      <c r="W7" s="33">
        <v>2.9923251994775262E-7</v>
      </c>
      <c r="Y7" s="31">
        <v>2.9451732370944228E-4</v>
      </c>
      <c r="AA7" t="s">
        <v>46</v>
      </c>
      <c r="AB7" s="32">
        <f>AB8-AB6</f>
        <v>97</v>
      </c>
      <c r="AC7" s="33">
        <f>AC8-AC6</f>
        <v>223</v>
      </c>
      <c r="AD7">
        <f t="shared" ref="AD7:AD8" si="10">AB7+AC7</f>
        <v>320</v>
      </c>
      <c r="AF7">
        <f t="array" ref="AF7:AH16">[2]!SelectCols(F6:J15,"5,2,1",1)</f>
        <v>8.4810741933023584E-2</v>
      </c>
      <c r="AG7">
        <v>28</v>
      </c>
      <c r="AH7">
        <v>3</v>
      </c>
      <c r="AI7">
        <f>AI6+AG7</f>
        <v>28</v>
      </c>
      <c r="AJ7">
        <f>AJ6+AH7</f>
        <v>3</v>
      </c>
      <c r="AK7">
        <f t="shared" ref="AK7:AL16" si="11">1-AI7/AI$16</f>
        <v>0.9072847682119205</v>
      </c>
      <c r="AL7">
        <f t="shared" si="11"/>
        <v>0.99344978165938869</v>
      </c>
      <c r="AM7">
        <f t="shared" ref="AM7:AM16" si="12">(AK7-AK8)*AL7</f>
        <v>0.13487232135110896</v>
      </c>
    </row>
    <row r="8" spans="1:39" x14ac:dyDescent="0.35">
      <c r="A8">
        <f t="shared" si="1"/>
        <v>450</v>
      </c>
      <c r="B8" s="10">
        <v>85</v>
      </c>
      <c r="C8" s="11">
        <v>23</v>
      </c>
      <c r="E8">
        <f t="shared" si="2"/>
        <v>250</v>
      </c>
      <c r="F8" s="27">
        <f t="shared" si="0"/>
        <v>87</v>
      </c>
      <c r="G8">
        <f t="shared" si="0"/>
        <v>6</v>
      </c>
      <c r="H8" s="28">
        <f t="shared" si="3"/>
        <v>93</v>
      </c>
      <c r="I8">
        <f t="shared" si="4"/>
        <v>0.93548387096774188</v>
      </c>
      <c r="J8">
        <f t="shared" si="5"/>
        <v>0.93555112618137914</v>
      </c>
      <c r="K8" s="27">
        <f t="shared" si="6"/>
        <v>87.006254734868264</v>
      </c>
      <c r="L8" s="28">
        <f t="shared" si="7"/>
        <v>5.9937452651317358</v>
      </c>
      <c r="M8" s="27">
        <f t="shared" si="8"/>
        <v>-22.247193212172164</v>
      </c>
      <c r="N8" s="28">
        <f t="shared" si="9"/>
        <v>93.548387096774192</v>
      </c>
      <c r="Q8" s="31">
        <v>-7.2199603066909332E-3</v>
      </c>
      <c r="S8" t="s">
        <v>61</v>
      </c>
      <c r="T8" s="26">
        <f>2*(T6-T5)</f>
        <v>280.24204695887317</v>
      </c>
      <c r="AB8">
        <f>F16</f>
        <v>458</v>
      </c>
      <c r="AC8">
        <f>G16</f>
        <v>302</v>
      </c>
      <c r="AD8">
        <f t="shared" si="10"/>
        <v>760</v>
      </c>
      <c r="AF8">
        <v>0.16020377908313455</v>
      </c>
      <c r="AG8">
        <v>41</v>
      </c>
      <c r="AH8">
        <v>10</v>
      </c>
      <c r="AI8">
        <f t="shared" ref="AI8:AJ16" si="13">AI7+AG8</f>
        <v>69</v>
      </c>
      <c r="AJ8">
        <f t="shared" si="13"/>
        <v>13</v>
      </c>
      <c r="AK8">
        <f t="shared" si="11"/>
        <v>0.77152317880794707</v>
      </c>
      <c r="AL8">
        <f t="shared" si="11"/>
        <v>0.97161572052401746</v>
      </c>
      <c r="AM8">
        <f t="shared" si="12"/>
        <v>0.26059891841869348</v>
      </c>
    </row>
    <row r="9" spans="1:39" x14ac:dyDescent="0.35">
      <c r="A9">
        <f t="shared" si="1"/>
        <v>550</v>
      </c>
      <c r="B9" s="10">
        <v>64</v>
      </c>
      <c r="C9" s="11">
        <v>38</v>
      </c>
      <c r="E9">
        <f t="shared" si="2"/>
        <v>350</v>
      </c>
      <c r="F9" s="27">
        <f t="shared" si="0"/>
        <v>75</v>
      </c>
      <c r="G9">
        <f t="shared" si="0"/>
        <v>11</v>
      </c>
      <c r="H9" s="28">
        <f t="shared" si="3"/>
        <v>86</v>
      </c>
      <c r="I9">
        <f t="shared" si="4"/>
        <v>0.87209302325581395</v>
      </c>
      <c r="J9">
        <f t="shared" si="5"/>
        <v>0.87580249356065765</v>
      </c>
      <c r="K9" s="27">
        <f t="shared" si="6"/>
        <v>75.319014446216556</v>
      </c>
      <c r="L9" s="28">
        <f t="shared" si="7"/>
        <v>10.680985553783444</v>
      </c>
      <c r="M9" s="27">
        <f t="shared" si="8"/>
        <v>-32.890804861165961</v>
      </c>
      <c r="N9" s="28">
        <f t="shared" si="9"/>
        <v>87.20930232558139</v>
      </c>
      <c r="S9" t="s">
        <v>20</v>
      </c>
      <c r="T9" s="35">
        <f>COUNT(E6)</f>
        <v>1</v>
      </c>
      <c r="AF9">
        <v>0.28196879639033423</v>
      </c>
      <c r="AG9">
        <v>81</v>
      </c>
      <c r="AH9">
        <v>31</v>
      </c>
      <c r="AI9">
        <f t="shared" si="13"/>
        <v>150</v>
      </c>
      <c r="AJ9">
        <f t="shared" si="13"/>
        <v>44</v>
      </c>
      <c r="AK9">
        <f t="shared" si="11"/>
        <v>0.50331125827814571</v>
      </c>
      <c r="AL9">
        <f t="shared" si="11"/>
        <v>0.90393013100436681</v>
      </c>
      <c r="AM9">
        <f t="shared" si="12"/>
        <v>0.21849966742820789</v>
      </c>
    </row>
    <row r="10" spans="1:39" x14ac:dyDescent="0.35">
      <c r="A10">
        <f t="shared" si="1"/>
        <v>650</v>
      </c>
      <c r="B10" s="10">
        <v>53</v>
      </c>
      <c r="C10" s="11">
        <v>73</v>
      </c>
      <c r="E10">
        <f t="shared" si="2"/>
        <v>450</v>
      </c>
      <c r="F10" s="27">
        <f t="shared" si="0"/>
        <v>85</v>
      </c>
      <c r="G10">
        <f t="shared" si="0"/>
        <v>23</v>
      </c>
      <c r="H10" s="28">
        <f t="shared" si="3"/>
        <v>108</v>
      </c>
      <c r="I10">
        <f t="shared" si="4"/>
        <v>0.78703703703703709</v>
      </c>
      <c r="J10">
        <f t="shared" si="5"/>
        <v>0.77404103527360035</v>
      </c>
      <c r="K10" s="27">
        <f t="shared" si="6"/>
        <v>83.596431809548832</v>
      </c>
      <c r="L10" s="28">
        <f t="shared" si="7"/>
        <v>24.403568190451168</v>
      </c>
      <c r="M10" s="27">
        <f t="shared" si="8"/>
        <v>-55.981326088787128</v>
      </c>
      <c r="N10" s="28">
        <f t="shared" si="9"/>
        <v>78.703703703703709</v>
      </c>
      <c r="S10" t="s">
        <v>62</v>
      </c>
      <c r="T10" s="35">
        <f>_xlfn.CHISQ.DIST.RT(T8,T9)</f>
        <v>6.6504340766847091E-63</v>
      </c>
      <c r="AA10" t="s">
        <v>63</v>
      </c>
      <c r="AB10" s="36">
        <f>AB6/AB8</f>
        <v>0.78820960698689957</v>
      </c>
      <c r="AC10" s="37">
        <f>AC7/AC8</f>
        <v>0.73841059602649006</v>
      </c>
      <c r="AD10">
        <f>(AB6+AC7)/AD8</f>
        <v>0.76842105263157889</v>
      </c>
      <c r="AF10">
        <v>0.4470194846957451</v>
      </c>
      <c r="AG10">
        <v>73</v>
      </c>
      <c r="AH10">
        <v>53</v>
      </c>
      <c r="AI10">
        <f t="shared" si="13"/>
        <v>223</v>
      </c>
      <c r="AJ10">
        <f t="shared" si="13"/>
        <v>97</v>
      </c>
      <c r="AK10">
        <f t="shared" si="11"/>
        <v>0.26158940397350994</v>
      </c>
      <c r="AL10">
        <f t="shared" si="11"/>
        <v>0.78820960698689957</v>
      </c>
      <c r="AM10">
        <f t="shared" si="12"/>
        <v>9.917869226987476E-2</v>
      </c>
    </row>
    <row r="11" spans="1:39" x14ac:dyDescent="0.35">
      <c r="A11">
        <f t="shared" si="1"/>
        <v>750</v>
      </c>
      <c r="B11" s="10">
        <v>31</v>
      </c>
      <c r="C11" s="11">
        <v>81</v>
      </c>
      <c r="E11">
        <f t="shared" si="2"/>
        <v>550</v>
      </c>
      <c r="F11" s="27">
        <f t="shared" si="0"/>
        <v>64</v>
      </c>
      <c r="G11">
        <f t="shared" si="0"/>
        <v>38</v>
      </c>
      <c r="H11" s="28">
        <f t="shared" si="3"/>
        <v>102</v>
      </c>
      <c r="I11">
        <f t="shared" si="4"/>
        <v>0.62745098039215685</v>
      </c>
      <c r="J11">
        <f t="shared" si="5"/>
        <v>0.6246366071854611</v>
      </c>
      <c r="K11" s="27">
        <f t="shared" si="6"/>
        <v>63.712933932917032</v>
      </c>
      <c r="L11" s="28">
        <f t="shared" si="7"/>
        <v>38.287066067082968</v>
      </c>
      <c r="M11" s="27">
        <f t="shared" si="8"/>
        <v>-67.352160157751385</v>
      </c>
      <c r="N11" s="28">
        <f t="shared" si="9"/>
        <v>62.745098039215684</v>
      </c>
      <c r="S11" t="s">
        <v>64</v>
      </c>
      <c r="T11" s="35">
        <v>0.05</v>
      </c>
      <c r="AF11">
        <v>0.6246366071854611</v>
      </c>
      <c r="AG11">
        <v>38</v>
      </c>
      <c r="AH11">
        <v>64</v>
      </c>
      <c r="AI11">
        <f t="shared" si="13"/>
        <v>261</v>
      </c>
      <c r="AJ11">
        <f t="shared" si="13"/>
        <v>161</v>
      </c>
      <c r="AK11">
        <f t="shared" si="11"/>
        <v>0.13576158940397354</v>
      </c>
      <c r="AL11">
        <f t="shared" si="11"/>
        <v>0.64847161572052403</v>
      </c>
      <c r="AM11">
        <f t="shared" si="12"/>
        <v>4.9386911131033322E-2</v>
      </c>
    </row>
    <row r="12" spans="1:39" x14ac:dyDescent="0.35">
      <c r="A12">
        <f t="shared" si="1"/>
        <v>850</v>
      </c>
      <c r="B12" s="10">
        <v>10</v>
      </c>
      <c r="C12" s="11">
        <v>41</v>
      </c>
      <c r="E12">
        <f t="shared" si="2"/>
        <v>650</v>
      </c>
      <c r="F12" s="27">
        <f t="shared" si="0"/>
        <v>53</v>
      </c>
      <c r="G12">
        <f t="shared" si="0"/>
        <v>73</v>
      </c>
      <c r="H12" s="28">
        <f t="shared" si="3"/>
        <v>126</v>
      </c>
      <c r="I12">
        <f t="shared" si="4"/>
        <v>0.42063492063492064</v>
      </c>
      <c r="J12">
        <f t="shared" si="5"/>
        <v>0.4470194846957451</v>
      </c>
      <c r="K12" s="27">
        <f t="shared" si="6"/>
        <v>56.324455071663884</v>
      </c>
      <c r="L12" s="28">
        <f t="shared" si="7"/>
        <v>69.675544928336109</v>
      </c>
      <c r="M12" s="27">
        <f t="shared" si="8"/>
        <v>-85.920687476603206</v>
      </c>
      <c r="N12" s="28">
        <f t="shared" si="9"/>
        <v>57.936507936507944</v>
      </c>
      <c r="S12" t="s">
        <v>65</v>
      </c>
      <c r="T12" s="38" t="str">
        <f>IF(T10&lt;T11,"yes","no")</f>
        <v>yes</v>
      </c>
      <c r="AA12" t="s">
        <v>66</v>
      </c>
      <c r="AB12" s="39">
        <v>0.5</v>
      </c>
      <c r="AF12">
        <v>0.77404103527360035</v>
      </c>
      <c r="AG12">
        <v>23</v>
      </c>
      <c r="AH12">
        <v>85</v>
      </c>
      <c r="AI12">
        <f t="shared" si="13"/>
        <v>284</v>
      </c>
      <c r="AJ12">
        <f t="shared" si="13"/>
        <v>246</v>
      </c>
      <c r="AK12">
        <f t="shared" si="11"/>
        <v>5.9602649006622488E-2</v>
      </c>
      <c r="AL12">
        <f t="shared" si="11"/>
        <v>0.46288209606986896</v>
      </c>
      <c r="AM12">
        <f t="shared" si="12"/>
        <v>1.6859943896584614E-2</v>
      </c>
    </row>
    <row r="13" spans="1:39" x14ac:dyDescent="0.35">
      <c r="A13">
        <f t="shared" si="1"/>
        <v>950</v>
      </c>
      <c r="B13" s="18">
        <v>3</v>
      </c>
      <c r="C13" s="19">
        <v>28</v>
      </c>
      <c r="E13">
        <f t="shared" si="2"/>
        <v>750</v>
      </c>
      <c r="F13" s="27">
        <f t="shared" si="0"/>
        <v>31</v>
      </c>
      <c r="G13">
        <f t="shared" si="0"/>
        <v>81</v>
      </c>
      <c r="H13" s="28">
        <f t="shared" si="3"/>
        <v>112</v>
      </c>
      <c r="I13">
        <f t="shared" si="4"/>
        <v>0.2767857142857143</v>
      </c>
      <c r="J13">
        <f t="shared" si="5"/>
        <v>0.28196879639033423</v>
      </c>
      <c r="K13" s="27">
        <f t="shared" si="6"/>
        <v>31.580505195717436</v>
      </c>
      <c r="L13" s="28">
        <f t="shared" si="7"/>
        <v>80.419494804282564</v>
      </c>
      <c r="M13" s="27">
        <f t="shared" si="8"/>
        <v>-66.075347219956171</v>
      </c>
      <c r="N13" s="28">
        <f t="shared" si="9"/>
        <v>72.321428571428569</v>
      </c>
      <c r="AF13">
        <v>0.87580249356065765</v>
      </c>
      <c r="AG13">
        <v>11</v>
      </c>
      <c r="AH13">
        <v>75</v>
      </c>
      <c r="AI13">
        <f t="shared" si="13"/>
        <v>295</v>
      </c>
      <c r="AJ13">
        <f t="shared" si="13"/>
        <v>321</v>
      </c>
      <c r="AK13">
        <f t="shared" si="11"/>
        <v>2.3178807947019875E-2</v>
      </c>
      <c r="AL13">
        <f t="shared" si="11"/>
        <v>0.29912663755458513</v>
      </c>
      <c r="AM13">
        <f t="shared" si="12"/>
        <v>5.9429133288990393E-3</v>
      </c>
    </row>
    <row r="14" spans="1:39" x14ac:dyDescent="0.35">
      <c r="B14">
        <f>SUM(B4:B13)</f>
        <v>458</v>
      </c>
      <c r="C14">
        <f>SUM(C4:C13)</f>
        <v>302</v>
      </c>
      <c r="E14">
        <f t="shared" si="2"/>
        <v>850</v>
      </c>
      <c r="F14" s="27">
        <f t="shared" si="0"/>
        <v>10</v>
      </c>
      <c r="G14">
        <f t="shared" si="0"/>
        <v>41</v>
      </c>
      <c r="H14" s="28">
        <f t="shared" si="3"/>
        <v>51</v>
      </c>
      <c r="I14">
        <f t="shared" si="4"/>
        <v>0.19607843137254902</v>
      </c>
      <c r="J14">
        <f t="shared" si="5"/>
        <v>0.16020377908313455</v>
      </c>
      <c r="K14" s="27">
        <f t="shared" si="6"/>
        <v>8.1703927332398614</v>
      </c>
      <c r="L14" s="28">
        <f t="shared" si="7"/>
        <v>42.829607266760135</v>
      </c>
      <c r="M14" s="27">
        <f t="shared" si="8"/>
        <v>-25.471522988043038</v>
      </c>
      <c r="N14" s="28">
        <f t="shared" si="9"/>
        <v>80.392156862745097</v>
      </c>
      <c r="S14" t="s">
        <v>67</v>
      </c>
      <c r="T14" s="26">
        <f>1-T6/T5</f>
        <v>0.27438826756733781</v>
      </c>
      <c r="AF14">
        <v>0.93555112618137914</v>
      </c>
      <c r="AG14">
        <v>6</v>
      </c>
      <c r="AH14">
        <v>87</v>
      </c>
      <c r="AI14">
        <f t="shared" si="13"/>
        <v>301</v>
      </c>
      <c r="AJ14">
        <f t="shared" si="13"/>
        <v>408</v>
      </c>
      <c r="AK14">
        <f t="shared" si="11"/>
        <v>3.3112582781457123E-3</v>
      </c>
      <c r="AL14">
        <f t="shared" si="11"/>
        <v>0.10917030567685593</v>
      </c>
      <c r="AM14">
        <f t="shared" si="12"/>
        <v>3.6149107840018703E-4</v>
      </c>
    </row>
    <row r="15" spans="1:39" x14ac:dyDescent="0.35">
      <c r="E15">
        <f t="shared" si="2"/>
        <v>950</v>
      </c>
      <c r="F15" s="32">
        <f t="shared" si="0"/>
        <v>3</v>
      </c>
      <c r="G15" s="40">
        <f t="shared" si="0"/>
        <v>28</v>
      </c>
      <c r="H15" s="28">
        <f t="shared" si="3"/>
        <v>31</v>
      </c>
      <c r="I15">
        <f t="shared" si="4"/>
        <v>9.6774193548387094E-2</v>
      </c>
      <c r="J15">
        <f t="shared" si="5"/>
        <v>8.4810741933023584E-2</v>
      </c>
      <c r="K15" s="27">
        <f t="shared" si="6"/>
        <v>2.6291329999237312</v>
      </c>
      <c r="L15" s="28">
        <f t="shared" si="7"/>
        <v>28.37086700007627</v>
      </c>
      <c r="M15" s="27">
        <f t="shared" si="8"/>
        <v>-9.8834822903740953</v>
      </c>
      <c r="N15" s="28">
        <f t="shared" si="9"/>
        <v>90.322580645161281</v>
      </c>
      <c r="S15" t="s">
        <v>68</v>
      </c>
      <c r="T15" s="35">
        <f>1-EXP((-2/H16)*(T6-T5))</f>
        <v>0.30839447430085232</v>
      </c>
      <c r="AF15">
        <v>0.96761878025963188</v>
      </c>
      <c r="AG15">
        <v>1</v>
      </c>
      <c r="AH15">
        <v>29</v>
      </c>
      <c r="AI15">
        <f t="shared" si="13"/>
        <v>302</v>
      </c>
      <c r="AJ15">
        <f t="shared" si="13"/>
        <v>437</v>
      </c>
      <c r="AK15">
        <f t="shared" si="11"/>
        <v>0</v>
      </c>
      <c r="AL15">
        <f t="shared" si="11"/>
        <v>4.5851528384279527E-2</v>
      </c>
      <c r="AM15">
        <f t="shared" si="12"/>
        <v>0</v>
      </c>
    </row>
    <row r="16" spans="1:39" x14ac:dyDescent="0.35">
      <c r="E16" s="41"/>
      <c r="F16" s="41">
        <f>SUM(F6:F15)</f>
        <v>458</v>
      </c>
      <c r="G16" s="41">
        <f t="shared" ref="G16:H16" si="14">SUM(G6:G15)</f>
        <v>302</v>
      </c>
      <c r="H16" s="45">
        <f t="shared" si="14"/>
        <v>760</v>
      </c>
      <c r="I16" s="45"/>
      <c r="J16" s="45"/>
      <c r="K16" s="45">
        <f>SUM(K6:K15)</f>
        <v>458.03175654126665</v>
      </c>
      <c r="L16" s="45">
        <f t="shared" ref="L16:M16" si="15">SUM(L6:L15)</f>
        <v>301.96824345873335</v>
      </c>
      <c r="M16" s="45">
        <f t="shared" si="15"/>
        <v>-370.54594024214236</v>
      </c>
      <c r="N16" s="45">
        <f>SUMPRODUCT(N6:N15,H6:H15)/H16</f>
        <v>76.84210526315789</v>
      </c>
      <c r="S16" t="s">
        <v>69</v>
      </c>
      <c r="T16" s="35">
        <f>T15/(1-EXP(2*T5/H16))</f>
        <v>0.41722107648497764</v>
      </c>
      <c r="AF16" s="34">
        <v>0.98400343854200378</v>
      </c>
      <c r="AG16" s="34">
        <v>0</v>
      </c>
      <c r="AH16" s="34">
        <v>21</v>
      </c>
      <c r="AI16" s="34">
        <f t="shared" si="13"/>
        <v>302</v>
      </c>
      <c r="AJ16" s="34">
        <f t="shared" si="13"/>
        <v>458</v>
      </c>
      <c r="AK16" s="34">
        <f t="shared" si="11"/>
        <v>0</v>
      </c>
      <c r="AL16" s="34">
        <f t="shared" si="11"/>
        <v>0</v>
      </c>
      <c r="AM16" s="34">
        <f t="shared" si="12"/>
        <v>0</v>
      </c>
    </row>
    <row r="17" spans="5:39" ht="15" thickBot="1" x14ac:dyDescent="0.4">
      <c r="S17" t="s">
        <v>81</v>
      </c>
      <c r="T17" s="35">
        <f>-2*T6+2*(T9+1)</f>
        <v>745.09188048428473</v>
      </c>
      <c r="AM17">
        <f>SUM(AM6:AM16)</f>
        <v>0.87841609069088189</v>
      </c>
    </row>
    <row r="18" spans="5:39" ht="15" thickTop="1" x14ac:dyDescent="0.35">
      <c r="E18" s="25"/>
      <c r="F18" s="25" t="s">
        <v>70</v>
      </c>
      <c r="G18" s="25" t="s">
        <v>71</v>
      </c>
      <c r="H18" s="25" t="s">
        <v>72</v>
      </c>
      <c r="I18" s="25" t="s">
        <v>62</v>
      </c>
      <c r="J18" s="25" t="s">
        <v>73</v>
      </c>
      <c r="K18" s="25" t="s">
        <v>74</v>
      </c>
      <c r="L18" s="25" t="s">
        <v>75</v>
      </c>
      <c r="S18" t="s">
        <v>82</v>
      </c>
      <c r="T18" s="31">
        <f>-2*T6+(T9+1)*LN(H16)</f>
        <v>754.35851735084543</v>
      </c>
    </row>
    <row r="19" spans="5:39" x14ac:dyDescent="0.35">
      <c r="E19" t="s">
        <v>33</v>
      </c>
      <c r="F19">
        <f t="array" ref="F19:F20">Q7:Q8</f>
        <v>4.4802536165656299</v>
      </c>
      <c r="G19">
        <f t="array" ref="G19:G20">SQRT([2]!DIAG(V6:W7))</f>
        <v>0.33433542477608957</v>
      </c>
      <c r="H19">
        <f>(F19/G19)^2</f>
        <v>179.5727394634188</v>
      </c>
      <c r="I19">
        <f>_xlfn.CHISQ.DIST.RT(H19,1)</f>
        <v>6.0077136601761437E-41</v>
      </c>
      <c r="J19">
        <f>EXP(F19)</f>
        <v>88.257053288232044</v>
      </c>
    </row>
    <row r="20" spans="5:39" x14ac:dyDescent="0.35">
      <c r="E20" s="34" t="str">
        <f t="array" ref="E20">TRANSPOSE(E5)</f>
        <v>Rems</v>
      </c>
      <c r="F20" s="34">
        <v>-7.2199603066909332E-3</v>
      </c>
      <c r="G20" s="34">
        <v>5.4702149861568755E-4</v>
      </c>
      <c r="H20" s="34">
        <f>(F20/G20)^2</f>
        <v>174.20508586197244</v>
      </c>
      <c r="I20" s="34">
        <f>_xlfn.CHISQ.DIST.RT(H20,1)</f>
        <v>8.9288944310658107E-40</v>
      </c>
      <c r="J20" s="34">
        <f>EXP(F20)</f>
        <v>0.99280604099297531</v>
      </c>
      <c r="K20" s="34">
        <f>EXP(F20-G20*_xlfn.NORM.S.INV(1-$T$11/2))</f>
        <v>0.99174218191179553</v>
      </c>
      <c r="L20" s="34">
        <f>EXP(F20+G20*_xlfn.NORM.S.INV(1-$T$11/2))</f>
        <v>0.99387104129428805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6695-45E8-48F0-9ED7-38C3488A4492}">
  <sheetPr codeName="Sheet3"/>
  <dimension ref="A1:AM20"/>
  <sheetViews>
    <sheetView workbookViewId="0"/>
  </sheetViews>
  <sheetFormatPr defaultRowHeight="14.5" x14ac:dyDescent="0.35"/>
  <cols>
    <col min="1" max="1" width="5.90625" customWidth="1"/>
    <col min="2" max="3" width="8" customWidth="1"/>
    <col min="4" max="4" width="3.6328125" customWidth="1"/>
    <col min="15" max="15" width="3.6328125" customWidth="1"/>
    <col min="16" max="16" width="0" hidden="1" customWidth="1"/>
    <col min="18" max="18" width="3.6328125" customWidth="1"/>
    <col min="21" max="21" width="3.6328125" customWidth="1"/>
  </cols>
  <sheetData>
    <row r="1" spans="1:39" x14ac:dyDescent="0.35">
      <c r="A1" s="1" t="s">
        <v>84</v>
      </c>
    </row>
    <row r="3" spans="1:39" x14ac:dyDescent="0.35">
      <c r="A3" s="2" t="s">
        <v>3</v>
      </c>
      <c r="B3" s="2" t="s">
        <v>4</v>
      </c>
      <c r="C3" s="2" t="s">
        <v>5</v>
      </c>
      <c r="E3" t="s">
        <v>40</v>
      </c>
      <c r="AA3" t="s">
        <v>41</v>
      </c>
      <c r="AF3" t="s">
        <v>42</v>
      </c>
    </row>
    <row r="4" spans="1:39" ht="15" thickBot="1" x14ac:dyDescent="0.4">
      <c r="A4">
        <v>50</v>
      </c>
      <c r="B4" s="4">
        <v>21</v>
      </c>
      <c r="C4" s="5">
        <v>0</v>
      </c>
    </row>
    <row r="5" spans="1:39" ht="15" thickTop="1" x14ac:dyDescent="0.35">
      <c r="A5">
        <f>A4+100</f>
        <v>150</v>
      </c>
      <c r="B5" s="10">
        <v>29</v>
      </c>
      <c r="C5" s="11">
        <v>1</v>
      </c>
      <c r="E5" s="44" t="str">
        <f>A3</f>
        <v>Rems</v>
      </c>
      <c r="F5" s="44" t="str">
        <f t="shared" ref="F5:G15" si="0">B3</f>
        <v>Survived</v>
      </c>
      <c r="G5" s="44" t="str">
        <f t="shared" si="0"/>
        <v>Died</v>
      </c>
      <c r="H5" s="44" t="s">
        <v>27</v>
      </c>
      <c r="I5" s="44" t="s">
        <v>43</v>
      </c>
      <c r="J5" s="44" t="s">
        <v>44</v>
      </c>
      <c r="K5" s="44" t="s">
        <v>45</v>
      </c>
      <c r="L5" s="44" t="s">
        <v>46</v>
      </c>
      <c r="M5" s="44" t="s">
        <v>11</v>
      </c>
      <c r="N5" s="44" t="s">
        <v>47</v>
      </c>
      <c r="Q5" t="s">
        <v>48</v>
      </c>
      <c r="S5" t="s">
        <v>49</v>
      </c>
      <c r="T5" s="26">
        <f>F16*LN(F16/H16)+G16*LN(G16/H16)</f>
        <v>-510.66696372157895</v>
      </c>
      <c r="V5" t="s">
        <v>50</v>
      </c>
      <c r="Y5" t="s">
        <v>80</v>
      </c>
      <c r="AB5" s="3" t="s">
        <v>51</v>
      </c>
      <c r="AC5" s="3" t="s">
        <v>52</v>
      </c>
      <c r="AF5" s="25" t="s">
        <v>44</v>
      </c>
      <c r="AG5" s="25" t="s">
        <v>53</v>
      </c>
      <c r="AH5" s="25" t="s">
        <v>54</v>
      </c>
      <c r="AI5" s="25" t="s">
        <v>55</v>
      </c>
      <c r="AJ5" s="25" t="s">
        <v>56</v>
      </c>
      <c r="AK5" s="25" t="s">
        <v>57</v>
      </c>
      <c r="AL5" s="25" t="s">
        <v>58</v>
      </c>
      <c r="AM5" s="25" t="s">
        <v>59</v>
      </c>
    </row>
    <row r="6" spans="1:39" x14ac:dyDescent="0.35">
      <c r="A6">
        <f t="shared" ref="A6:A13" si="1">A5+100</f>
        <v>250</v>
      </c>
      <c r="B6" s="10">
        <v>87</v>
      </c>
      <c r="C6" s="11">
        <v>6</v>
      </c>
      <c r="E6">
        <f t="shared" ref="E6:E15" si="2">A4</f>
        <v>50</v>
      </c>
      <c r="F6" s="27">
        <f t="shared" si="0"/>
        <v>21</v>
      </c>
      <c r="G6">
        <f t="shared" si="0"/>
        <v>0</v>
      </c>
      <c r="H6" s="28">
        <f>F6+G6</f>
        <v>21</v>
      </c>
      <c r="I6">
        <f>IF(H6=0,"",F6/H6)</f>
        <v>1</v>
      </c>
      <c r="J6">
        <f>1/(1+EXP(-$Q$7-$Q$8*E6))</f>
        <v>0.5</v>
      </c>
      <c r="K6" s="29">
        <f>H6*J6</f>
        <v>10.5</v>
      </c>
      <c r="L6" s="30">
        <f>H6-K6</f>
        <v>10.5</v>
      </c>
      <c r="M6" s="29">
        <f>IFERROR(H6*(I6*LN(J6)+(1-I6)*LN(1-J6)),0)</f>
        <v>-14.556090791758852</v>
      </c>
      <c r="N6" s="30">
        <f>100*IF(J6&gt;=$AB$12,F6/H6,G6/H6)</f>
        <v>100</v>
      </c>
      <c r="S6" t="s">
        <v>60</v>
      </c>
      <c r="T6" s="31">
        <f>M16</f>
        <v>-526.79185722555849</v>
      </c>
      <c r="V6" s="29" t="e">
        <f t="array" aca="1" ref="V6:W7" ca="1">MINVERSE(MMULT(TRANSPOSE(DEsign(E6:E15)),J6:J15*(1-J6:J15)*H6:H15*DEsign(E6:E15)))</f>
        <v>#NAME?</v>
      </c>
      <c r="W6" s="30" t="e">
        <f ca="1"/>
        <v>#NAME?</v>
      </c>
      <c r="Y6" s="26" t="e">
        <f t="array" aca="1" ref="Y6:Y7" ca="1">MMULT(TRANSPOSE(DEsign(E6:E15)),H6:H15*(I6:I15-J6:J15))</f>
        <v>#NAME?</v>
      </c>
      <c r="AA6" t="s">
        <v>45</v>
      </c>
      <c r="AB6" s="29">
        <f>SUMIF(J6:J15,"&gt;="&amp;AB12,F6:F15)</f>
        <v>458</v>
      </c>
      <c r="AC6" s="30">
        <f>SUMIF(J6:J15,"&gt;="&amp;AB12,G6:G15)</f>
        <v>302</v>
      </c>
      <c r="AD6">
        <f>AB6+AC6</f>
        <v>760</v>
      </c>
      <c r="AI6">
        <v>0</v>
      </c>
      <c r="AJ6">
        <v>0</v>
      </c>
      <c r="AK6" t="e">
        <f ca="1">1-AI6/AI$16</f>
        <v>#NAME?</v>
      </c>
      <c r="AL6" t="e">
        <f ca="1">1-AJ6/AJ$16</f>
        <v>#NAME?</v>
      </c>
      <c r="AM6" t="e">
        <f ca="1">(AK6-AK7)*AL6</f>
        <v>#NAME?</v>
      </c>
    </row>
    <row r="7" spans="1:39" x14ac:dyDescent="0.35">
      <c r="A7">
        <f t="shared" si="1"/>
        <v>350</v>
      </c>
      <c r="B7" s="10">
        <v>75</v>
      </c>
      <c r="C7" s="11">
        <v>11</v>
      </c>
      <c r="E7">
        <f t="shared" si="2"/>
        <v>150</v>
      </c>
      <c r="F7" s="27">
        <f t="shared" si="0"/>
        <v>29</v>
      </c>
      <c r="G7">
        <f t="shared" si="0"/>
        <v>1</v>
      </c>
      <c r="H7" s="28">
        <f t="shared" ref="H7:H15" si="3">F7+G7</f>
        <v>30</v>
      </c>
      <c r="I7">
        <f t="shared" ref="I7:I15" si="4">IF(H7=0,"",F7/H7)</f>
        <v>0.96666666666666667</v>
      </c>
      <c r="J7">
        <f t="shared" ref="J7:J15" si="5">1/(1+EXP(-$Q$7-$Q$8*E7))</f>
        <v>0.5</v>
      </c>
      <c r="K7" s="27">
        <f t="shared" ref="K7:K15" si="6">H7*J7</f>
        <v>15</v>
      </c>
      <c r="L7" s="28">
        <f t="shared" ref="L7:L15" si="7">H7-K7</f>
        <v>15</v>
      </c>
      <c r="M7" s="27">
        <f t="shared" ref="M7:M15" si="8">IFERROR(H7*(I7*LN(J7)+(1-I7)*LN(1-J7)),0)</f>
        <v>-20.794415416798358</v>
      </c>
      <c r="N7" s="28">
        <f t="shared" ref="N7:N15" si="9">100*IF(J7&gt;=$AB$12,F7/H7,G7/H7)</f>
        <v>96.666666666666671</v>
      </c>
      <c r="Q7" s="26">
        <v>0</v>
      </c>
      <c r="V7" s="32" t="e">
        <f ca="1"/>
        <v>#NAME?</v>
      </c>
      <c r="W7" s="33" t="e">
        <f ca="1"/>
        <v>#NAME?</v>
      </c>
      <c r="Y7" s="31" t="e">
        <f ca="1"/>
        <v>#NAME?</v>
      </c>
      <c r="AA7" t="s">
        <v>46</v>
      </c>
      <c r="AB7" s="32">
        <f>AB8-AB6</f>
        <v>0</v>
      </c>
      <c r="AC7" s="33">
        <f>AC8-AC6</f>
        <v>0</v>
      </c>
      <c r="AD7">
        <f t="shared" ref="AD7:AD8" si="10">AB7+AC7</f>
        <v>0</v>
      </c>
      <c r="AF7" t="e">
        <f t="array" aca="1" ref="AF7:AH16" ca="1">SelectCols(F6:J15,"5,2,1",1)</f>
        <v>#NAME?</v>
      </c>
      <c r="AG7" t="e">
        <f ca="1"/>
        <v>#NAME?</v>
      </c>
      <c r="AH7" t="e">
        <f ca="1"/>
        <v>#NAME?</v>
      </c>
      <c r="AI7" t="e">
        <f ca="1">AI6+AG7</f>
        <v>#NAME?</v>
      </c>
      <c r="AJ7" t="e">
        <f ca="1">AJ6+AH7</f>
        <v>#NAME?</v>
      </c>
      <c r="AK7" t="e">
        <f t="shared" ref="AK7:AL16" ca="1" si="11">1-AI7/AI$16</f>
        <v>#NAME?</v>
      </c>
      <c r="AL7" t="e">
        <f t="shared" ca="1" si="11"/>
        <v>#NAME?</v>
      </c>
      <c r="AM7" t="e">
        <f t="shared" ref="AM7:AM16" ca="1" si="12">(AK7-AK8)*AL7</f>
        <v>#NAME?</v>
      </c>
    </row>
    <row r="8" spans="1:39" x14ac:dyDescent="0.35">
      <c r="A8">
        <f t="shared" si="1"/>
        <v>450</v>
      </c>
      <c r="B8" s="10">
        <v>85</v>
      </c>
      <c r="C8" s="11">
        <v>23</v>
      </c>
      <c r="E8">
        <f t="shared" si="2"/>
        <v>250</v>
      </c>
      <c r="F8" s="27">
        <f t="shared" si="0"/>
        <v>87</v>
      </c>
      <c r="G8">
        <f t="shared" si="0"/>
        <v>6</v>
      </c>
      <c r="H8" s="28">
        <f t="shared" si="3"/>
        <v>93</v>
      </c>
      <c r="I8">
        <f t="shared" si="4"/>
        <v>0.93548387096774188</v>
      </c>
      <c r="J8">
        <f t="shared" si="5"/>
        <v>0.5</v>
      </c>
      <c r="K8" s="27">
        <f t="shared" si="6"/>
        <v>46.5</v>
      </c>
      <c r="L8" s="28">
        <f t="shared" si="7"/>
        <v>46.5</v>
      </c>
      <c r="M8" s="27">
        <f t="shared" si="8"/>
        <v>-64.462687792074917</v>
      </c>
      <c r="N8" s="28">
        <f t="shared" si="9"/>
        <v>93.548387096774192</v>
      </c>
      <c r="Q8" s="31">
        <v>0</v>
      </c>
      <c r="S8" t="s">
        <v>61</v>
      </c>
      <c r="T8" s="26">
        <f>2*(T6-T5)</f>
        <v>-32.249787007959071</v>
      </c>
      <c r="AB8">
        <f>F16</f>
        <v>458</v>
      </c>
      <c r="AC8">
        <f>G16</f>
        <v>302</v>
      </c>
      <c r="AD8">
        <f t="shared" si="10"/>
        <v>760</v>
      </c>
      <c r="AF8" t="e">
        <f ca="1"/>
        <v>#NAME?</v>
      </c>
      <c r="AG8" t="e">
        <f ca="1"/>
        <v>#NAME?</v>
      </c>
      <c r="AH8" t="e">
        <f ca="1"/>
        <v>#NAME?</v>
      </c>
      <c r="AI8" t="e">
        <f t="shared" ref="AI8:AJ16" ca="1" si="13">AI7+AG8</f>
        <v>#NAME?</v>
      </c>
      <c r="AJ8" t="e">
        <f t="shared" ca="1" si="13"/>
        <v>#NAME?</v>
      </c>
      <c r="AK8" t="e">
        <f t="shared" ca="1" si="11"/>
        <v>#NAME?</v>
      </c>
      <c r="AL8" t="e">
        <f t="shared" ca="1" si="11"/>
        <v>#NAME?</v>
      </c>
      <c r="AM8" t="e">
        <f t="shared" ca="1" si="12"/>
        <v>#NAME?</v>
      </c>
    </row>
    <row r="9" spans="1:39" x14ac:dyDescent="0.35">
      <c r="A9">
        <f t="shared" si="1"/>
        <v>550</v>
      </c>
      <c r="B9" s="10">
        <v>64</v>
      </c>
      <c r="C9" s="11">
        <v>38</v>
      </c>
      <c r="E9">
        <f t="shared" si="2"/>
        <v>350</v>
      </c>
      <c r="F9" s="27">
        <f t="shared" si="0"/>
        <v>75</v>
      </c>
      <c r="G9">
        <f t="shared" si="0"/>
        <v>11</v>
      </c>
      <c r="H9" s="28">
        <f t="shared" si="3"/>
        <v>86</v>
      </c>
      <c r="I9">
        <f t="shared" si="4"/>
        <v>0.87209302325581395</v>
      </c>
      <c r="J9">
        <f t="shared" si="5"/>
        <v>0.5</v>
      </c>
      <c r="K9" s="27">
        <f t="shared" si="6"/>
        <v>43</v>
      </c>
      <c r="L9" s="28">
        <f t="shared" si="7"/>
        <v>43</v>
      </c>
      <c r="M9" s="27">
        <f t="shared" si="8"/>
        <v>-59.610657528155294</v>
      </c>
      <c r="N9" s="28">
        <f t="shared" si="9"/>
        <v>87.20930232558139</v>
      </c>
      <c r="S9" t="s">
        <v>20</v>
      </c>
      <c r="T9" s="35">
        <f>COUNT(E6)</f>
        <v>1</v>
      </c>
      <c r="AF9" t="e">
        <f ca="1"/>
        <v>#NAME?</v>
      </c>
      <c r="AG9" t="e">
        <f ca="1"/>
        <v>#NAME?</v>
      </c>
      <c r="AH9" t="e">
        <f ca="1"/>
        <v>#NAME?</v>
      </c>
      <c r="AI9" t="e">
        <f t="shared" ca="1" si="13"/>
        <v>#NAME?</v>
      </c>
      <c r="AJ9" t="e">
        <f t="shared" ca="1" si="13"/>
        <v>#NAME?</v>
      </c>
      <c r="AK9" t="e">
        <f t="shared" ca="1" si="11"/>
        <v>#NAME?</v>
      </c>
      <c r="AL9" t="e">
        <f t="shared" ca="1" si="11"/>
        <v>#NAME?</v>
      </c>
      <c r="AM9" t="e">
        <f t="shared" ca="1" si="12"/>
        <v>#NAME?</v>
      </c>
    </row>
    <row r="10" spans="1:39" x14ac:dyDescent="0.35">
      <c r="A10">
        <f t="shared" si="1"/>
        <v>650</v>
      </c>
      <c r="B10" s="10">
        <v>53</v>
      </c>
      <c r="C10" s="11">
        <v>73</v>
      </c>
      <c r="E10">
        <f t="shared" si="2"/>
        <v>450</v>
      </c>
      <c r="F10" s="27">
        <f t="shared" si="0"/>
        <v>85</v>
      </c>
      <c r="G10">
        <f t="shared" si="0"/>
        <v>23</v>
      </c>
      <c r="H10" s="28">
        <f t="shared" si="3"/>
        <v>108</v>
      </c>
      <c r="I10">
        <f t="shared" si="4"/>
        <v>0.78703703703703709</v>
      </c>
      <c r="J10">
        <f t="shared" si="5"/>
        <v>0.5</v>
      </c>
      <c r="K10" s="27">
        <f t="shared" si="6"/>
        <v>54</v>
      </c>
      <c r="L10" s="28">
        <f t="shared" si="7"/>
        <v>54</v>
      </c>
      <c r="M10" s="27">
        <f t="shared" si="8"/>
        <v>-74.859895500474096</v>
      </c>
      <c r="N10" s="28">
        <f t="shared" si="9"/>
        <v>78.703703703703709</v>
      </c>
      <c r="S10" t="s">
        <v>62</v>
      </c>
      <c r="T10" s="35" t="e">
        <f>_xlfn.CHISQ.DIST.RT(T8,T9)</f>
        <v>#NUM!</v>
      </c>
      <c r="AA10" t="s">
        <v>63</v>
      </c>
      <c r="AB10" s="36">
        <f>AB6/AB8</f>
        <v>1</v>
      </c>
      <c r="AC10" s="37">
        <f>AC7/AC8</f>
        <v>0</v>
      </c>
      <c r="AD10">
        <f>(AB6+AC7)/AD8</f>
        <v>0.60263157894736841</v>
      </c>
      <c r="AF10" t="e">
        <f ca="1"/>
        <v>#NAME?</v>
      </c>
      <c r="AG10" t="e">
        <f ca="1"/>
        <v>#NAME?</v>
      </c>
      <c r="AH10" t="e">
        <f ca="1"/>
        <v>#NAME?</v>
      </c>
      <c r="AI10" t="e">
        <f t="shared" ca="1" si="13"/>
        <v>#NAME?</v>
      </c>
      <c r="AJ10" t="e">
        <f t="shared" ca="1" si="13"/>
        <v>#NAME?</v>
      </c>
      <c r="AK10" t="e">
        <f t="shared" ca="1" si="11"/>
        <v>#NAME?</v>
      </c>
      <c r="AL10" t="e">
        <f t="shared" ca="1" si="11"/>
        <v>#NAME?</v>
      </c>
      <c r="AM10" t="e">
        <f t="shared" ca="1" si="12"/>
        <v>#NAME?</v>
      </c>
    </row>
    <row r="11" spans="1:39" x14ac:dyDescent="0.35">
      <c r="A11">
        <f t="shared" si="1"/>
        <v>750</v>
      </c>
      <c r="B11" s="10">
        <v>31</v>
      </c>
      <c r="C11" s="11">
        <v>81</v>
      </c>
      <c r="E11">
        <f t="shared" si="2"/>
        <v>550</v>
      </c>
      <c r="F11" s="27">
        <f t="shared" si="0"/>
        <v>64</v>
      </c>
      <c r="G11">
        <f t="shared" si="0"/>
        <v>38</v>
      </c>
      <c r="H11" s="28">
        <f t="shared" si="3"/>
        <v>102</v>
      </c>
      <c r="I11">
        <f t="shared" si="4"/>
        <v>0.62745098039215685</v>
      </c>
      <c r="J11">
        <f t="shared" si="5"/>
        <v>0.5</v>
      </c>
      <c r="K11" s="27">
        <f t="shared" si="6"/>
        <v>51</v>
      </c>
      <c r="L11" s="28">
        <f t="shared" si="7"/>
        <v>51</v>
      </c>
      <c r="M11" s="27">
        <f t="shared" si="8"/>
        <v>-70.701012417114413</v>
      </c>
      <c r="N11" s="28">
        <f t="shared" si="9"/>
        <v>62.745098039215684</v>
      </c>
      <c r="S11" t="s">
        <v>64</v>
      </c>
      <c r="T11" s="35">
        <v>0.05</v>
      </c>
      <c r="AF11" t="e">
        <f ca="1"/>
        <v>#NAME?</v>
      </c>
      <c r="AG11" t="e">
        <f ca="1"/>
        <v>#NAME?</v>
      </c>
      <c r="AH11" t="e">
        <f ca="1"/>
        <v>#NAME?</v>
      </c>
      <c r="AI11" t="e">
        <f t="shared" ca="1" si="13"/>
        <v>#NAME?</v>
      </c>
      <c r="AJ11" t="e">
        <f t="shared" ca="1" si="13"/>
        <v>#NAME?</v>
      </c>
      <c r="AK11" t="e">
        <f t="shared" ca="1" si="11"/>
        <v>#NAME?</v>
      </c>
      <c r="AL11" t="e">
        <f t="shared" ca="1" si="11"/>
        <v>#NAME?</v>
      </c>
      <c r="AM11" t="e">
        <f t="shared" ca="1" si="12"/>
        <v>#NAME?</v>
      </c>
    </row>
    <row r="12" spans="1:39" x14ac:dyDescent="0.35">
      <c r="A12">
        <f t="shared" si="1"/>
        <v>850</v>
      </c>
      <c r="B12" s="10">
        <v>10</v>
      </c>
      <c r="C12" s="11">
        <v>41</v>
      </c>
      <c r="E12">
        <f t="shared" si="2"/>
        <v>650</v>
      </c>
      <c r="F12" s="27">
        <f t="shared" si="0"/>
        <v>53</v>
      </c>
      <c r="G12">
        <f t="shared" si="0"/>
        <v>73</v>
      </c>
      <c r="H12" s="28">
        <f t="shared" si="3"/>
        <v>126</v>
      </c>
      <c r="I12">
        <f t="shared" si="4"/>
        <v>0.42063492063492064</v>
      </c>
      <c r="J12">
        <f t="shared" si="5"/>
        <v>0.5</v>
      </c>
      <c r="K12" s="27">
        <f t="shared" si="6"/>
        <v>63</v>
      </c>
      <c r="L12" s="28">
        <f t="shared" si="7"/>
        <v>63</v>
      </c>
      <c r="M12" s="27">
        <f t="shared" si="8"/>
        <v>-87.336544750553088</v>
      </c>
      <c r="N12" s="28">
        <f t="shared" si="9"/>
        <v>42.063492063492063</v>
      </c>
      <c r="S12" t="s">
        <v>65</v>
      </c>
      <c r="T12" s="38" t="e">
        <f>IF(T10&lt;T11,"yes","no")</f>
        <v>#NUM!</v>
      </c>
      <c r="AA12" t="s">
        <v>66</v>
      </c>
      <c r="AB12" s="39">
        <v>0.5</v>
      </c>
      <c r="AF12" t="e">
        <f ca="1"/>
        <v>#NAME?</v>
      </c>
      <c r="AG12" t="e">
        <f ca="1"/>
        <v>#NAME?</v>
      </c>
      <c r="AH12" t="e">
        <f ca="1"/>
        <v>#NAME?</v>
      </c>
      <c r="AI12" t="e">
        <f t="shared" ca="1" si="13"/>
        <v>#NAME?</v>
      </c>
      <c r="AJ12" t="e">
        <f t="shared" ca="1" si="13"/>
        <v>#NAME?</v>
      </c>
      <c r="AK12" t="e">
        <f t="shared" ca="1" si="11"/>
        <v>#NAME?</v>
      </c>
      <c r="AL12" t="e">
        <f t="shared" ca="1" si="11"/>
        <v>#NAME?</v>
      </c>
      <c r="AM12" t="e">
        <f t="shared" ca="1" si="12"/>
        <v>#NAME?</v>
      </c>
    </row>
    <row r="13" spans="1:39" x14ac:dyDescent="0.35">
      <c r="A13">
        <f t="shared" si="1"/>
        <v>950</v>
      </c>
      <c r="B13" s="18">
        <v>3</v>
      </c>
      <c r="C13" s="19">
        <v>28</v>
      </c>
      <c r="E13">
        <f t="shared" si="2"/>
        <v>750</v>
      </c>
      <c r="F13" s="27">
        <f t="shared" si="0"/>
        <v>31</v>
      </c>
      <c r="G13">
        <f t="shared" si="0"/>
        <v>81</v>
      </c>
      <c r="H13" s="28">
        <f t="shared" si="3"/>
        <v>112</v>
      </c>
      <c r="I13">
        <f t="shared" si="4"/>
        <v>0.2767857142857143</v>
      </c>
      <c r="J13">
        <f t="shared" si="5"/>
        <v>0.5</v>
      </c>
      <c r="K13" s="27">
        <f t="shared" si="6"/>
        <v>56</v>
      </c>
      <c r="L13" s="28">
        <f t="shared" si="7"/>
        <v>56</v>
      </c>
      <c r="M13" s="27">
        <f t="shared" si="8"/>
        <v>-77.63248422271387</v>
      </c>
      <c r="N13" s="28">
        <f t="shared" si="9"/>
        <v>27.678571428571431</v>
      </c>
      <c r="AF13" t="e">
        <f ca="1"/>
        <v>#NAME?</v>
      </c>
      <c r="AG13" t="e">
        <f ca="1"/>
        <v>#NAME?</v>
      </c>
      <c r="AH13" t="e">
        <f ca="1"/>
        <v>#NAME?</v>
      </c>
      <c r="AI13" t="e">
        <f t="shared" ca="1" si="13"/>
        <v>#NAME?</v>
      </c>
      <c r="AJ13" t="e">
        <f t="shared" ca="1" si="13"/>
        <v>#NAME?</v>
      </c>
      <c r="AK13" t="e">
        <f t="shared" ca="1" si="11"/>
        <v>#NAME?</v>
      </c>
      <c r="AL13" t="e">
        <f t="shared" ca="1" si="11"/>
        <v>#NAME?</v>
      </c>
      <c r="AM13" t="e">
        <f t="shared" ca="1" si="12"/>
        <v>#NAME?</v>
      </c>
    </row>
    <row r="14" spans="1:39" x14ac:dyDescent="0.35">
      <c r="B14">
        <f>SUM(B4:B13)</f>
        <v>458</v>
      </c>
      <c r="C14">
        <f>SUM(C4:C13)</f>
        <v>302</v>
      </c>
      <c r="E14">
        <f t="shared" si="2"/>
        <v>850</v>
      </c>
      <c r="F14" s="27">
        <f t="shared" si="0"/>
        <v>10</v>
      </c>
      <c r="G14">
        <f t="shared" si="0"/>
        <v>41</v>
      </c>
      <c r="H14" s="28">
        <f t="shared" si="3"/>
        <v>51</v>
      </c>
      <c r="I14">
        <f t="shared" si="4"/>
        <v>0.19607843137254902</v>
      </c>
      <c r="J14">
        <f t="shared" si="5"/>
        <v>0.5</v>
      </c>
      <c r="K14" s="27">
        <f t="shared" si="6"/>
        <v>25.5</v>
      </c>
      <c r="L14" s="28">
        <f t="shared" si="7"/>
        <v>25.5</v>
      </c>
      <c r="M14" s="27">
        <f t="shared" si="8"/>
        <v>-35.350506208557206</v>
      </c>
      <c r="N14" s="28">
        <f t="shared" si="9"/>
        <v>19.607843137254903</v>
      </c>
      <c r="S14" t="s">
        <v>67</v>
      </c>
      <c r="T14" s="26">
        <f>1-T6/T5</f>
        <v>-3.1576143846209215E-2</v>
      </c>
      <c r="AF14" t="e">
        <f ca="1"/>
        <v>#NAME?</v>
      </c>
      <c r="AG14" t="e">
        <f ca="1"/>
        <v>#NAME?</v>
      </c>
      <c r="AH14" t="e">
        <f ca="1"/>
        <v>#NAME?</v>
      </c>
      <c r="AI14" t="e">
        <f t="shared" ca="1" si="13"/>
        <v>#NAME?</v>
      </c>
      <c r="AJ14" t="e">
        <f t="shared" ca="1" si="13"/>
        <v>#NAME?</v>
      </c>
      <c r="AK14" t="e">
        <f t="shared" ca="1" si="11"/>
        <v>#NAME?</v>
      </c>
      <c r="AL14" t="e">
        <f t="shared" ca="1" si="11"/>
        <v>#NAME?</v>
      </c>
      <c r="AM14" t="e">
        <f t="shared" ca="1" si="12"/>
        <v>#NAME?</v>
      </c>
    </row>
    <row r="15" spans="1:39" x14ac:dyDescent="0.35">
      <c r="E15">
        <f t="shared" si="2"/>
        <v>950</v>
      </c>
      <c r="F15" s="32">
        <f t="shared" si="0"/>
        <v>3</v>
      </c>
      <c r="G15" s="40">
        <f t="shared" si="0"/>
        <v>28</v>
      </c>
      <c r="H15" s="28">
        <f t="shared" si="3"/>
        <v>31</v>
      </c>
      <c r="I15">
        <f t="shared" si="4"/>
        <v>9.6774193548387094E-2</v>
      </c>
      <c r="J15">
        <f t="shared" si="5"/>
        <v>0.5</v>
      </c>
      <c r="K15" s="27">
        <f t="shared" si="6"/>
        <v>15.5</v>
      </c>
      <c r="L15" s="28">
        <f t="shared" si="7"/>
        <v>15.5</v>
      </c>
      <c r="M15" s="27">
        <f t="shared" si="8"/>
        <v>-21.487562597358306</v>
      </c>
      <c r="N15" s="28">
        <f t="shared" si="9"/>
        <v>9.67741935483871</v>
      </c>
      <c r="S15" t="s">
        <v>68</v>
      </c>
      <c r="T15" s="35">
        <f>1-EXP((-2/H16)*(T6-T5))</f>
        <v>-4.3347120437658093E-2</v>
      </c>
      <c r="AF15" t="e">
        <f ca="1"/>
        <v>#NAME?</v>
      </c>
      <c r="AG15" t="e">
        <f ca="1"/>
        <v>#NAME?</v>
      </c>
      <c r="AH15" t="e">
        <f ca="1"/>
        <v>#NAME?</v>
      </c>
      <c r="AI15" t="e">
        <f t="shared" ca="1" si="13"/>
        <v>#NAME?</v>
      </c>
      <c r="AJ15" t="e">
        <f t="shared" ca="1" si="13"/>
        <v>#NAME?</v>
      </c>
      <c r="AK15" t="e">
        <f t="shared" ca="1" si="11"/>
        <v>#NAME?</v>
      </c>
      <c r="AL15" t="e">
        <f t="shared" ca="1" si="11"/>
        <v>#NAME?</v>
      </c>
      <c r="AM15" t="e">
        <f t="shared" ca="1" si="12"/>
        <v>#NAME?</v>
      </c>
    </row>
    <row r="16" spans="1:39" x14ac:dyDescent="0.35">
      <c r="E16" s="41"/>
      <c r="F16" s="41">
        <f>SUM(F6:F15)</f>
        <v>458</v>
      </c>
      <c r="G16" s="41">
        <f t="shared" ref="G16:H16" si="14">SUM(G6:G15)</f>
        <v>302</v>
      </c>
      <c r="H16" s="45">
        <f t="shared" si="14"/>
        <v>760</v>
      </c>
      <c r="I16" s="45"/>
      <c r="J16" s="45"/>
      <c r="K16" s="45">
        <f>SUM(K6:K15)</f>
        <v>380</v>
      </c>
      <c r="L16" s="45">
        <f t="shared" ref="L16:M16" si="15">SUM(L6:L15)</f>
        <v>380</v>
      </c>
      <c r="M16" s="45">
        <f t="shared" si="15"/>
        <v>-526.79185722555849</v>
      </c>
      <c r="N16" s="45">
        <f>SUMPRODUCT(N6:N15,H6:H15)/H16</f>
        <v>60.263157894736842</v>
      </c>
      <c r="S16" t="s">
        <v>69</v>
      </c>
      <c r="T16" s="35">
        <f>T15/(1-EXP(2*T5/H16))</f>
        <v>-5.8643502911406416E-2</v>
      </c>
      <c r="AF16" s="34" t="e">
        <f ca="1"/>
        <v>#NAME?</v>
      </c>
      <c r="AG16" s="34" t="e">
        <f ca="1"/>
        <v>#NAME?</v>
      </c>
      <c r="AH16" s="34" t="e">
        <f ca="1"/>
        <v>#NAME?</v>
      </c>
      <c r="AI16" s="34" t="e">
        <f t="shared" ca="1" si="13"/>
        <v>#NAME?</v>
      </c>
      <c r="AJ16" s="34" t="e">
        <f t="shared" ca="1" si="13"/>
        <v>#NAME?</v>
      </c>
      <c r="AK16" s="34" t="e">
        <f t="shared" ca="1" si="11"/>
        <v>#NAME?</v>
      </c>
      <c r="AL16" s="34" t="e">
        <f t="shared" ca="1" si="11"/>
        <v>#NAME?</v>
      </c>
      <c r="AM16" s="34" t="e">
        <f t="shared" ca="1" si="12"/>
        <v>#NAME?</v>
      </c>
    </row>
    <row r="17" spans="5:39" ht="15" thickBot="1" x14ac:dyDescent="0.4">
      <c r="S17" t="s">
        <v>81</v>
      </c>
      <c r="T17" s="35">
        <f>-2*T6+2*(T9+1)</f>
        <v>1057.583714451117</v>
      </c>
      <c r="AM17" t="e">
        <f ca="1">SUM(AM6:AM16)</f>
        <v>#NAME?</v>
      </c>
    </row>
    <row r="18" spans="5:39" ht="15" thickTop="1" x14ac:dyDescent="0.35">
      <c r="E18" s="25"/>
      <c r="F18" s="25" t="s">
        <v>70</v>
      </c>
      <c r="G18" s="25" t="s">
        <v>71</v>
      </c>
      <c r="H18" s="25" t="s">
        <v>72</v>
      </c>
      <c r="I18" s="25" t="s">
        <v>62</v>
      </c>
      <c r="J18" s="25" t="s">
        <v>73</v>
      </c>
      <c r="K18" s="25" t="s">
        <v>74</v>
      </c>
      <c r="L18" s="25" t="s">
        <v>75</v>
      </c>
      <c r="S18" t="s">
        <v>82</v>
      </c>
      <c r="T18" s="31">
        <f>-2*T6+(T9+1)*LN(H16)</f>
        <v>1066.8503513176777</v>
      </c>
    </row>
    <row r="19" spans="5:39" x14ac:dyDescent="0.35">
      <c r="E19" t="s">
        <v>33</v>
      </c>
      <c r="F19">
        <f t="array" ref="F19:F20">Q7:Q8</f>
        <v>0</v>
      </c>
      <c r="G19" t="e">
        <f t="array" aca="1" ref="G19:G20" ca="1">SQRT(DIAG(V6:W7))</f>
        <v>#NAME?</v>
      </c>
      <c r="H19" t="e">
        <f ca="1">(F19/G19)^2</f>
        <v>#NAME?</v>
      </c>
      <c r="I19" t="e">
        <f ca="1">_xlfn.CHISQ.DIST.RT(H19,1)</f>
        <v>#NAME?</v>
      </c>
      <c r="J19">
        <f>EXP(F19)</f>
        <v>1</v>
      </c>
    </row>
    <row r="20" spans="5:39" x14ac:dyDescent="0.35">
      <c r="E20" s="34" t="str">
        <f t="array" ref="E20">TRANSPOSE(E5)</f>
        <v>Rems</v>
      </c>
      <c r="F20" s="34">
        <v>0</v>
      </c>
      <c r="G20" s="34" t="e">
        <f ca="1"/>
        <v>#NAME?</v>
      </c>
      <c r="H20" s="34" t="e">
        <f ca="1">(F20/G20)^2</f>
        <v>#NAME?</v>
      </c>
      <c r="I20" s="34" t="e">
        <f ca="1">_xlfn.CHISQ.DIST.RT(H20,1)</f>
        <v>#NAME?</v>
      </c>
      <c r="J20" s="34">
        <f>EXP(F20)</f>
        <v>1</v>
      </c>
      <c r="K20" s="34" t="e">
        <f ca="1">EXP(F20-G20*_xlfn.NORM.S.INV(1-$T$11/2))</f>
        <v>#NAME?</v>
      </c>
      <c r="L20" s="34" t="e">
        <f ca="1">EXP(F20+G20*_xlfn.NORM.S.INV(1-$T$11/2))</f>
        <v>#NAME?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Logit 1</vt:lpstr>
      <vt:lpstr>Logit 2</vt:lpstr>
      <vt:lpstr>Logit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2023-03-13T08:44:44Z</dcterms:created>
  <dcterms:modified xsi:type="dcterms:W3CDTF">2023-03-13T13:23:36Z</dcterms:modified>
</cp:coreProperties>
</file>