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D557CDC-DEC1-4F40-86F0-C1EE43AF6A4F}" xr6:coauthVersionLast="47" xr6:coauthVersionMax="47" xr10:uidLastSave="{00000000-0000-0000-0000-000000000000}"/>
  <bookViews>
    <workbookView xWindow="-110" yWindow="-110" windowWidth="19420" windowHeight="10300" xr2:uid="{40D6B2D3-156F-4116-B61E-20E706A3582D}"/>
  </bookViews>
  <sheets>
    <sheet name="Title" sheetId="3" r:id="rId1"/>
    <sheet name="BOX" sheetId="1" r:id="rId2"/>
    <sheet name="Hotelling" sheetId="4" r:id="rId3"/>
    <sheet name="Manova" sheetId="2" r:id="rId4"/>
  </sheets>
  <externalReferences>
    <externalReference r:id="rId5"/>
    <externalReference r:id="rId6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4" l="1" a="1"/>
  <c r="U14" i="4" s="1"/>
  <c r="W9" i="4"/>
  <c r="W8" i="4"/>
  <c r="W7" i="4"/>
  <c r="T7" i="4"/>
  <c r="W6" i="4"/>
  <c r="T6" i="4"/>
  <c r="W5" i="4"/>
  <c r="T5" i="4"/>
  <c r="AC4" i="1" a="1"/>
  <c r="AC8" i="1" s="1"/>
  <c r="A15" i="4"/>
  <c r="L5" i="4"/>
  <c r="M5" i="4" s="1"/>
  <c r="N5" i="4" s="1"/>
  <c r="P6" i="4"/>
  <c r="I5" i="4"/>
  <c r="J5" i="4" s="1"/>
  <c r="K5" i="4" s="1"/>
  <c r="F5" i="4"/>
  <c r="L4" i="4"/>
  <c r="M4" i="4" s="1"/>
  <c r="N4" i="4" s="1"/>
  <c r="I4" i="4"/>
  <c r="Q5" i="4" s="1"/>
  <c r="A3" i="4"/>
  <c r="T12" i="4" l="1"/>
  <c r="AC4" i="1"/>
  <c r="U12" i="4"/>
  <c r="S13" i="4"/>
  <c r="AC5" i="1"/>
  <c r="AC6" i="1"/>
  <c r="U13" i="4"/>
  <c r="T13" i="4"/>
  <c r="AC7" i="1"/>
  <c r="S14" i="4"/>
  <c r="T14" i="4"/>
  <c r="S12" i="4"/>
  <c r="F6" i="4"/>
  <c r="Q6" i="4"/>
  <c r="P5" i="4"/>
  <c r="I6" i="4"/>
  <c r="J4" i="4"/>
  <c r="K4" i="4" s="1"/>
  <c r="F14" i="4" l="1"/>
  <c r="J6" i="4"/>
  <c r="A17" i="4" a="1"/>
  <c r="A19" i="4" l="1"/>
  <c r="C18" i="4"/>
  <c r="B18" i="4"/>
  <c r="A18" i="4"/>
  <c r="B17" i="4"/>
  <c r="C17" i="4"/>
  <c r="C19" i="4"/>
  <c r="A17" i="4"/>
  <c r="B19" i="4"/>
  <c r="F17" i="4"/>
  <c r="K6" i="4"/>
  <c r="K7" i="4" s="1"/>
  <c r="I11" i="4" s="1"/>
  <c r="J7" i="4"/>
  <c r="F12" i="4" s="1"/>
  <c r="L6" i="4" l="1"/>
  <c r="M6" i="4" s="1"/>
  <c r="N6" i="4" s="1"/>
  <c r="N7" i="4" s="1"/>
  <c r="F11" i="4" s="1"/>
  <c r="F13" i="4" s="1"/>
  <c r="F15" i="4" s="1"/>
  <c r="F18" i="4" s="1"/>
  <c r="I12" i="4"/>
  <c r="I14" i="4" l="1"/>
  <c r="I16" i="4" s="1"/>
  <c r="I19" i="4"/>
  <c r="I13" i="4"/>
  <c r="I15" i="4" s="1"/>
  <c r="I17" i="4" s="1"/>
  <c r="I18" i="4" s="1"/>
  <c r="I20" i="4" s="1"/>
  <c r="G7" i="2" l="1"/>
  <c r="G6" i="2"/>
  <c r="G5" i="2"/>
  <c r="G4" i="2"/>
  <c r="J3" i="2" a="1"/>
  <c r="J7" i="2" s="1"/>
  <c r="G3" i="2"/>
  <c r="J4" i="2" l="1"/>
  <c r="J5" i="2"/>
  <c r="J3" i="2"/>
  <c r="J6" i="2"/>
  <c r="Y7" i="1" l="1"/>
  <c r="U7" i="1"/>
  <c r="V7" i="1" s="1"/>
  <c r="T7" i="1"/>
  <c r="Q7" i="1"/>
  <c r="R7" i="1" s="1"/>
  <c r="Y6" i="1"/>
  <c r="T6" i="1"/>
  <c r="U6" i="1" s="1"/>
  <c r="V6" i="1" s="1"/>
  <c r="Q6" i="1"/>
  <c r="R6" i="1" s="1"/>
  <c r="S6" i="1" s="1"/>
  <c r="N6" i="1"/>
  <c r="Y5" i="1"/>
  <c r="T5" i="1"/>
  <c r="U5" i="1" s="1"/>
  <c r="V5" i="1" s="1"/>
  <c r="Q5" i="1"/>
  <c r="R5" i="1" s="1"/>
  <c r="S5" i="1" s="1"/>
  <c r="N5" i="1"/>
  <c r="T4" i="1"/>
  <c r="U4" i="1" s="1"/>
  <c r="V4" i="1" s="1"/>
  <c r="R4" i="1"/>
  <c r="S4" i="1" s="1"/>
  <c r="N12" i="1" l="1"/>
  <c r="R8" i="1"/>
  <c r="S7" i="1"/>
  <c r="S8" i="1" s="1"/>
  <c r="Q11" i="1" s="1"/>
  <c r="V8" i="1"/>
  <c r="N11" i="1" s="1"/>
  <c r="N14" i="1"/>
  <c r="N13" i="1" l="1"/>
  <c r="N15" i="1" s="1"/>
  <c r="N18" i="1" s="1"/>
  <c r="N17" i="1"/>
  <c r="Q12" i="1"/>
  <c r="Q13" i="1"/>
  <c r="Q15" i="1" s="1"/>
  <c r="Q17" i="1" s="1"/>
  <c r="Q18" i="1" s="1"/>
  <c r="Q20" i="1" s="1"/>
  <c r="Q19" i="1"/>
  <c r="Q16" i="1" l="1"/>
  <c r="Q14" i="1"/>
</calcChain>
</file>

<file path=xl/sharedStrings.xml><?xml version="1.0" encoding="utf-8"?>
<sst xmlns="http://schemas.openxmlformats.org/spreadsheetml/2006/main" count="149" uniqueCount="58">
  <si>
    <t>Box's Test</t>
  </si>
  <si>
    <t>Young</t>
  </si>
  <si>
    <t>Old</t>
  </si>
  <si>
    <t>nn = n -1</t>
  </si>
  <si>
    <t>1/nn</t>
  </si>
  <si>
    <t>1/nn^2</t>
  </si>
  <si>
    <t>det</t>
  </si>
  <si>
    <t>ln det</t>
  </si>
  <si>
    <t>nn*ln det</t>
  </si>
  <si>
    <t>cov</t>
  </si>
  <si>
    <t>sample</t>
  </si>
  <si>
    <t>M</t>
  </si>
  <si>
    <t>k</t>
  </si>
  <si>
    <t>Middle</t>
  </si>
  <si>
    <t>df1</t>
  </si>
  <si>
    <t>p</t>
  </si>
  <si>
    <t>df2</t>
  </si>
  <si>
    <t>Pooled</t>
  </si>
  <si>
    <t>F</t>
  </si>
  <si>
    <t>Diff</t>
  </si>
  <si>
    <t>p-value</t>
  </si>
  <si>
    <t>c2</t>
  </si>
  <si>
    <t>c</t>
  </si>
  <si>
    <t>χ2</t>
  </si>
  <si>
    <t>a+</t>
  </si>
  <si>
    <t>df</t>
  </si>
  <si>
    <t>a-</t>
  </si>
  <si>
    <t>F+</t>
  </si>
  <si>
    <t>α</t>
  </si>
  <si>
    <t>F-</t>
  </si>
  <si>
    <t>χ2-crit</t>
  </si>
  <si>
    <t>sig</t>
  </si>
  <si>
    <t>F-crit</t>
  </si>
  <si>
    <t>Manova - Box's Test</t>
  </si>
  <si>
    <t>yield</t>
  </si>
  <si>
    <t>water</t>
  </si>
  <si>
    <t>herbicide</t>
  </si>
  <si>
    <t>loam</t>
  </si>
  <si>
    <t>sandy</t>
  </si>
  <si>
    <t>salty</t>
  </si>
  <si>
    <t>clay</t>
  </si>
  <si>
    <t>Real Statistics functions</t>
  </si>
  <si>
    <t>Real Statistics Using Excel</t>
  </si>
  <si>
    <t>Updated</t>
  </si>
  <si>
    <t>Copyright © 2013 - 2023 Charles Zaiontz</t>
  </si>
  <si>
    <t>nn = n-1</t>
  </si>
  <si>
    <t>Input</t>
  </si>
  <si>
    <t>Chi-square Test</t>
  </si>
  <si>
    <t>F Test</t>
  </si>
  <si>
    <t>Drug</t>
  </si>
  <si>
    <t>m</t>
  </si>
  <si>
    <t>Placebo</t>
  </si>
  <si>
    <t>F value</t>
  </si>
  <si>
    <t>=A5</t>
  </si>
  <si>
    <t>=A11</t>
  </si>
  <si>
    <t>Pooled Covariance Matrix</t>
  </si>
  <si>
    <t>Covariance - Placebo</t>
  </si>
  <si>
    <t>Real Statistics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</si>
</sst>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164" fontId="0" fillId="0" borderId="8" xfId="0" applyNumberFormat="1" applyBorder="1"/>
    <xf numFmtId="0" fontId="0" fillId="0" borderId="15" xfId="0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5" fontId="0" fillId="0" borderId="0" xfId="0" applyNumberFormat="1"/>
    <xf numFmtId="0" fontId="3" fillId="0" borderId="0" xfId="0" applyFont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11" xfId="0" applyFill="1" applyBorder="1"/>
    <xf numFmtId="0" fontId="0" fillId="0" borderId="14" xfId="0" applyBorder="1"/>
    <xf numFmtId="0" fontId="0" fillId="0" borderId="1" xfId="0" applyBorder="1" applyAlignment="1">
      <alignment horizontal="right"/>
    </xf>
    <xf numFmtId="0" fontId="0" fillId="0" borderId="5" xfId="0" quotePrefix="1" applyBorder="1"/>
    <xf numFmtId="0" fontId="0" fillId="0" borderId="6" xfId="0" quotePrefix="1" applyBorder="1"/>
    <xf numFmtId="0" fontId="0" fillId="0" borderId="10" xfId="0" quotePrefix="1" applyBorder="1"/>
    <xf numFmtId="0" fontId="0" fillId="0" borderId="11" xfId="0" quotePrefix="1" applyBorder="1"/>
    <xf numFmtId="0" fontId="0" fillId="2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Multivariate%20Examples%2019%20Feb%202022.xlsx" TargetMode="External"/><Relationship Id="rId1" Type="http://schemas.openxmlformats.org/officeDocument/2006/relationships/externalLinkPath" Target="/Users/user/Documents/A%20Real%20Statistics%202020/Examples/Real%20Statistics%20Multivariate%20Examples%2019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Desc"/>
      <sheetName val="Ellipse"/>
      <sheetName val="Ellipse 2"/>
      <sheetName val="Bivar"/>
      <sheetName val="Bivar 1"/>
      <sheetName val="FR"/>
      <sheetName val="FRSJ"/>
      <sheetName val="Hotel 1"/>
      <sheetName val="Hotel 2P"/>
      <sheetName val="Hotel 2"/>
      <sheetName val="Hotel 2a"/>
      <sheetName val="Hotel 2b"/>
      <sheetName val="Hotel 3"/>
      <sheetName val="Hotel 3a"/>
      <sheetName val="Hotel 3b"/>
      <sheetName val="Rep Measures 1"/>
      <sheetName val="Rep 2W a"/>
      <sheetName val="Rep 2W b"/>
      <sheetName val="Rep 2W c"/>
      <sheetName val="Rep Measures 2"/>
      <sheetName val="Rep Measures 3"/>
      <sheetName val="Rep 2W+1B"/>
      <sheetName val="Hot1 Power"/>
      <sheetName val="Hot2 Power"/>
      <sheetName val="Box 2"/>
      <sheetName val="Box 2a"/>
      <sheetName val="Box 3a"/>
      <sheetName val="Box 3b"/>
      <sheetName val="Manova 1"/>
      <sheetName val="Manova 1a"/>
      <sheetName val="Manova 1b"/>
      <sheetName val="Manova 1c"/>
      <sheetName val="Manova 1d"/>
      <sheetName val="Manova 1e"/>
      <sheetName val="Manova 1f"/>
      <sheetName val="Manova 1g"/>
      <sheetName val="Manova 1h"/>
      <sheetName val="Manova 1i"/>
      <sheetName val="Manova 1j"/>
      <sheetName val="Manova 1k"/>
      <sheetName val="Manova2"/>
      <sheetName val="Man Power"/>
      <sheetName val="Man2 Power"/>
      <sheetName val="PMANOVA1"/>
      <sheetName val="PMANOVA2"/>
      <sheetName val="PMANOVA3"/>
      <sheetName val="PANOVA"/>
      <sheetName val="Box"/>
      <sheetName val="PCA"/>
      <sheetName val="Factor"/>
      <sheetName val="Box Factor"/>
      <sheetName val="KMO"/>
      <sheetName val="Clust 1"/>
      <sheetName val="Clust 2"/>
      <sheetName val="Clust 3"/>
      <sheetName val="Clust 3a"/>
      <sheetName val="Clust 3b"/>
      <sheetName val="Clust A"/>
      <sheetName val="Clust B"/>
      <sheetName val="Clust C"/>
      <sheetName val="Clust D"/>
      <sheetName val="Clust E"/>
      <sheetName val="Clust E1"/>
      <sheetName val="Clust F"/>
      <sheetName val="Jenks 1"/>
      <sheetName val="Jenks 2"/>
      <sheetName val="Jenks 3"/>
      <sheetName val="Jenks 4"/>
      <sheetName val="Discrim 1"/>
      <sheetName val="Discrim 2"/>
      <sheetName val="Discrim 3"/>
      <sheetName val="Discrim 4"/>
      <sheetName val="CA 1"/>
      <sheetName val="CA 2"/>
      <sheetName val="CA 3"/>
      <sheetName val="CA 4"/>
      <sheetName val="Fact PCA"/>
      <sheetName val="PAF Comm"/>
      <sheetName val="Fact P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J7">
            <v>20</v>
          </cell>
          <cell r="K7">
            <v>18</v>
          </cell>
        </row>
        <row r="9">
          <cell r="I9" t="str">
            <v>Covariance - Drug</v>
          </cell>
          <cell r="Q9" t="str">
            <v>Covariance - Pooled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8039-E0CD-449A-BB47-B14E51EA4D64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42</v>
      </c>
    </row>
    <row r="2" spans="1:2" x14ac:dyDescent="0.35">
      <c r="A2" t="s">
        <v>0</v>
      </c>
    </row>
    <row r="4" spans="1:2" x14ac:dyDescent="0.35">
      <c r="A4" t="s">
        <v>43</v>
      </c>
      <c r="B4" s="31">
        <v>44940</v>
      </c>
    </row>
    <row r="6" spans="1:2" x14ac:dyDescent="0.35">
      <c r="A6" s="32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6059-7953-4A69-9AC7-D3072BE0C21E}">
  <sheetPr codeName="Sheet18"/>
  <dimension ref="A1:AC20"/>
  <sheetViews>
    <sheetView workbookViewId="0"/>
  </sheetViews>
  <sheetFormatPr defaultRowHeight="14.5" x14ac:dyDescent="0.35"/>
  <cols>
    <col min="6" max="6" width="6.26953125" customWidth="1"/>
    <col min="12" max="12" width="6.26953125" customWidth="1"/>
    <col min="13" max="14" width="8.81640625" customWidth="1"/>
    <col min="15" max="15" width="6.453125" customWidth="1"/>
    <col min="16" max="21" width="8.81640625" customWidth="1"/>
    <col min="22" max="22" width="10.453125" customWidth="1"/>
    <col min="29" max="29" width="9.1796875" customWidth="1"/>
  </cols>
  <sheetData>
    <row r="1" spans="1:29" x14ac:dyDescent="0.35">
      <c r="A1" s="1" t="s">
        <v>0</v>
      </c>
    </row>
    <row r="2" spans="1:29" x14ac:dyDescent="0.35">
      <c r="X2" t="s">
        <v>41</v>
      </c>
      <c r="AB2" t="s">
        <v>0</v>
      </c>
    </row>
    <row r="3" spans="1:29" x14ac:dyDescent="0.35">
      <c r="A3" t="s">
        <v>1</v>
      </c>
      <c r="G3" t="s">
        <v>2</v>
      </c>
      <c r="M3" t="s">
        <v>0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</row>
    <row r="4" spans="1:29" x14ac:dyDescent="0.35">
      <c r="P4" t="s">
        <v>1</v>
      </c>
      <c r="Q4" s="3">
        <v>6</v>
      </c>
      <c r="R4" s="4">
        <f>1/Q4</f>
        <v>0.16666666666666666</v>
      </c>
      <c r="S4" s="4">
        <f>R4^2</f>
        <v>2.7777777777777776E-2</v>
      </c>
      <c r="T4" s="4">
        <f>MDETERM(A5:E9)</f>
        <v>1.0473579666471442E+16</v>
      </c>
      <c r="U4" s="4">
        <f>LN(T4)</f>
        <v>36.887632258825739</v>
      </c>
      <c r="V4" s="4">
        <f>U4*Q4</f>
        <v>221.32579355295445</v>
      </c>
      <c r="Y4" t="s">
        <v>9</v>
      </c>
      <c r="Z4" t="s">
        <v>10</v>
      </c>
      <c r="AB4" t="s">
        <v>11</v>
      </c>
      <c r="AC4" s="5" t="e">
        <f t="array" aca="1" ref="AC4:AC8" ca="1">BOX(Y5:Z7,5)</f>
        <v>#NAME?</v>
      </c>
    </row>
    <row r="5" spans="1:29" x14ac:dyDescent="0.35">
      <c r="A5" s="33">
        <v>5971.1428571428569</v>
      </c>
      <c r="B5" s="34">
        <v>2240.1428571428573</v>
      </c>
      <c r="C5" s="34">
        <v>2635.9761904761899</v>
      </c>
      <c r="D5" s="34">
        <v>2408.5952380952376</v>
      </c>
      <c r="E5" s="35">
        <v>3615.4523809523807</v>
      </c>
      <c r="G5" s="33">
        <v>937.61904761904748</v>
      </c>
      <c r="H5" s="34">
        <v>181.30952380952377</v>
      </c>
      <c r="I5" s="34">
        <v>432.38095238095235</v>
      </c>
      <c r="J5" s="34">
        <v>-228.64285714285711</v>
      </c>
      <c r="K5" s="35">
        <v>124.33333333333329</v>
      </c>
      <c r="M5" t="s">
        <v>12</v>
      </c>
      <c r="N5" s="5">
        <f>COUNTA(A5:E5)</f>
        <v>5</v>
      </c>
      <c r="P5" t="s">
        <v>13</v>
      </c>
      <c r="Q5" s="2">
        <f>Q4</f>
        <v>6</v>
      </c>
      <c r="R5">
        <f>1/Q5</f>
        <v>0.16666666666666666</v>
      </c>
      <c r="S5">
        <f>R5^2</f>
        <v>2.7777777777777776E-2</v>
      </c>
      <c r="T5">
        <f>MDETERM(A13:E17)</f>
        <v>4.5544512692109672E+16</v>
      </c>
      <c r="U5">
        <f>LN(T5)</f>
        <v>38.357466543568599</v>
      </c>
      <c r="V5">
        <f>U5*Q5</f>
        <v>230.14479926141161</v>
      </c>
      <c r="X5" t="s">
        <v>1</v>
      </c>
      <c r="Y5" s="8">
        <f>A5</f>
        <v>5971.1428571428569</v>
      </c>
      <c r="Z5" s="9">
        <v>7</v>
      </c>
      <c r="AB5" t="s">
        <v>14</v>
      </c>
      <c r="AC5" s="6" t="e">
        <f ca="1"/>
        <v>#NAME?</v>
      </c>
    </row>
    <row r="6" spans="1:29" x14ac:dyDescent="0.35">
      <c r="A6" s="36">
        <v>2240.1428571428573</v>
      </c>
      <c r="B6" s="37">
        <v>2915.1428571428573</v>
      </c>
      <c r="C6" s="37">
        <v>3314.8095238095239</v>
      </c>
      <c r="D6" s="37">
        <v>1553.0952380952378</v>
      </c>
      <c r="E6" s="38">
        <v>2755.9523809523803</v>
      </c>
      <c r="G6" s="36">
        <v>181.30952380952377</v>
      </c>
      <c r="H6" s="37">
        <v>4400.9047619047624</v>
      </c>
      <c r="I6" s="37">
        <v>1918.0238095238096</v>
      </c>
      <c r="J6" s="37">
        <v>2596.0952380952376</v>
      </c>
      <c r="K6" s="38">
        <v>2264.9999999999995</v>
      </c>
      <c r="M6" t="s">
        <v>15</v>
      </c>
      <c r="N6" s="7">
        <f>COUNTA(P4:P6)</f>
        <v>3</v>
      </c>
      <c r="P6" t="s">
        <v>2</v>
      </c>
      <c r="Q6" s="2">
        <f>Q4</f>
        <v>6</v>
      </c>
      <c r="R6">
        <f>1/Q6</f>
        <v>0.16666666666666666</v>
      </c>
      <c r="S6">
        <f>R6^2</f>
        <v>2.7777777777777776E-2</v>
      </c>
      <c r="T6">
        <f>MDETERM(G5:K9)</f>
        <v>1.8162198398096784E+16</v>
      </c>
      <c r="U6">
        <f>LN(T6)</f>
        <v>37.438118817920923</v>
      </c>
      <c r="V6">
        <f>U6*Q6</f>
        <v>224.62871290752554</v>
      </c>
      <c r="X6" t="s">
        <v>13</v>
      </c>
      <c r="Y6" s="10">
        <f>A13</f>
        <v>4377.6190476190468</v>
      </c>
      <c r="Z6" s="11">
        <v>7</v>
      </c>
      <c r="AB6" t="s">
        <v>16</v>
      </c>
      <c r="AC6" s="6" t="e">
        <f ca="1"/>
        <v>#NAME?</v>
      </c>
    </row>
    <row r="7" spans="1:29" x14ac:dyDescent="0.35">
      <c r="A7" s="36">
        <v>2635.9761904761899</v>
      </c>
      <c r="B7" s="37">
        <v>3314.8095238095239</v>
      </c>
      <c r="C7" s="37">
        <v>4241.1428571428569</v>
      </c>
      <c r="D7" s="37">
        <v>2092.2619047619046</v>
      </c>
      <c r="E7" s="38">
        <v>3222.4523809523807</v>
      </c>
      <c r="G7" s="36">
        <v>432.38095238095235</v>
      </c>
      <c r="H7" s="37">
        <v>1918.0238095238096</v>
      </c>
      <c r="I7" s="37">
        <v>3550.6190476190468</v>
      </c>
      <c r="J7" s="37">
        <v>1563.9761904761904</v>
      </c>
      <c r="K7" s="38">
        <v>1917</v>
      </c>
      <c r="P7" t="s">
        <v>17</v>
      </c>
      <c r="Q7" s="12">
        <f>SUM(Q4:Q6)</f>
        <v>18</v>
      </c>
      <c r="R7" s="13">
        <f>1/Q7</f>
        <v>5.5555555555555552E-2</v>
      </c>
      <c r="S7" s="13">
        <f>R7^2</f>
        <v>3.0864197530864196E-3</v>
      </c>
      <c r="T7" s="13">
        <f>MDETERM(G13:K17)</f>
        <v>1.4203888611701739E+17</v>
      </c>
      <c r="U7" s="13">
        <f>LN(T7)</f>
        <v>39.494877260917491</v>
      </c>
      <c r="V7" s="13">
        <f>U7*Q7</f>
        <v>710.90779069651489</v>
      </c>
      <c r="X7" t="s">
        <v>2</v>
      </c>
      <c r="Y7" s="14">
        <f>G5</f>
        <v>937.61904761904748</v>
      </c>
      <c r="Z7" s="15">
        <v>7</v>
      </c>
      <c r="AB7" t="s">
        <v>18</v>
      </c>
      <c r="AC7" s="6" t="e">
        <f ca="1"/>
        <v>#NAME?</v>
      </c>
    </row>
    <row r="8" spans="1:29" x14ac:dyDescent="0.35">
      <c r="A8" s="36">
        <v>2408.5952380952376</v>
      </c>
      <c r="B8" s="37">
        <v>1553.0952380952378</v>
      </c>
      <c r="C8" s="37">
        <v>2092.2619047619046</v>
      </c>
      <c r="D8" s="37">
        <v>3318.2857142857147</v>
      </c>
      <c r="E8" s="38">
        <v>1225.6904761904761</v>
      </c>
      <c r="G8" s="36">
        <v>-228.64285714285711</v>
      </c>
      <c r="H8" s="37">
        <v>2596.0952380952376</v>
      </c>
      <c r="I8" s="37">
        <v>1563.9761904761904</v>
      </c>
      <c r="J8" s="37">
        <v>2882.9047619047619</v>
      </c>
      <c r="K8" s="38">
        <v>2364.1666666666665</v>
      </c>
      <c r="P8" t="s">
        <v>19</v>
      </c>
      <c r="R8">
        <f>SUM(R4:R6)-R7</f>
        <v>0.44444444444444442</v>
      </c>
      <c r="S8">
        <f>SUM(S4:S6)-S7</f>
        <v>8.0246913580246909E-2</v>
      </c>
      <c r="V8">
        <f>V7-SUM(V4:V6)</f>
        <v>34.808484974623298</v>
      </c>
      <c r="AB8" t="s">
        <v>20</v>
      </c>
      <c r="AC8" s="7" t="e">
        <f ca="1"/>
        <v>#NAME?</v>
      </c>
    </row>
    <row r="9" spans="1:29" x14ac:dyDescent="0.35">
      <c r="A9" s="39">
        <v>3615.4523809523807</v>
      </c>
      <c r="B9" s="40">
        <v>2755.9523809523803</v>
      </c>
      <c r="C9" s="40">
        <v>3222.4523809523807</v>
      </c>
      <c r="D9" s="40">
        <v>1225.6904761904761</v>
      </c>
      <c r="E9" s="41">
        <v>4318.9047619047615</v>
      </c>
      <c r="G9" s="39">
        <v>124.33333333333329</v>
      </c>
      <c r="H9" s="40">
        <v>2264.9999999999995</v>
      </c>
      <c r="I9" s="40">
        <v>1917</v>
      </c>
      <c r="J9" s="40">
        <v>2364.1666666666665</v>
      </c>
      <c r="K9" s="41">
        <v>3680.333333333333</v>
      </c>
    </row>
    <row r="11" spans="1:29" x14ac:dyDescent="0.35">
      <c r="A11" t="s">
        <v>13</v>
      </c>
      <c r="G11" t="s">
        <v>17</v>
      </c>
      <c r="M11" t="s">
        <v>11</v>
      </c>
      <c r="N11" s="5">
        <f>V8</f>
        <v>34.808484974623298</v>
      </c>
      <c r="P11" t="s">
        <v>21</v>
      </c>
      <c r="Q11" s="5">
        <f>(N5-1)*(N5+2)/(6*(N6-1))*S8</f>
        <v>0.18724279835390947</v>
      </c>
    </row>
    <row r="12" spans="1:29" x14ac:dyDescent="0.35">
      <c r="M12" t="s">
        <v>22</v>
      </c>
      <c r="N12" s="6">
        <f>(2*N5^2+3*N5-1)/(6*(N5+1)*(N6-1))*R8</f>
        <v>0.39506172839506171</v>
      </c>
      <c r="P12" t="s">
        <v>16</v>
      </c>
      <c r="Q12" s="6">
        <f>(N14+2)/ABS(Q11-N12^2)</f>
        <v>1026.6601466992654</v>
      </c>
    </row>
    <row r="13" spans="1:29" x14ac:dyDescent="0.35">
      <c r="A13" s="33">
        <v>4377.6190476190468</v>
      </c>
      <c r="B13" s="34">
        <v>1656.2619047619046</v>
      </c>
      <c r="C13" s="34">
        <v>-896.38095238095229</v>
      </c>
      <c r="D13" s="34">
        <v>-549.95238095238096</v>
      </c>
      <c r="E13" s="35">
        <v>-168.92857142857133</v>
      </c>
      <c r="G13" s="33">
        <v>3762.1269841269841</v>
      </c>
      <c r="H13" s="34">
        <v>1359.2380952380952</v>
      </c>
      <c r="I13" s="34">
        <v>723.99206349206327</v>
      </c>
      <c r="J13" s="34">
        <v>543.33333333333314</v>
      </c>
      <c r="K13" s="35">
        <v>1190.2857142857142</v>
      </c>
      <c r="M13" s="16" t="s">
        <v>23</v>
      </c>
      <c r="N13" s="6">
        <f>N11*(1-N12)</f>
        <v>21.056984737735082</v>
      </c>
      <c r="P13" t="s">
        <v>24</v>
      </c>
      <c r="Q13" s="6">
        <f>N14/(1-N12-N14/Q12)</f>
        <v>52.108907696507906</v>
      </c>
    </row>
    <row r="14" spans="1:29" x14ac:dyDescent="0.35">
      <c r="A14" s="36">
        <v>1656.2619047619046</v>
      </c>
      <c r="B14" s="37">
        <v>2236.8095238095239</v>
      </c>
      <c r="C14" s="37">
        <v>1085.4285714285711</v>
      </c>
      <c r="D14" s="37">
        <v>888.73809523809507</v>
      </c>
      <c r="E14" s="38">
        <v>2671.8571428571427</v>
      </c>
      <c r="G14" s="36">
        <v>1359.2380952380952</v>
      </c>
      <c r="H14" s="37">
        <v>3184.2857142857151</v>
      </c>
      <c r="I14" s="37">
        <v>2106.0873015873017</v>
      </c>
      <c r="J14" s="37">
        <v>1679.3095238095236</v>
      </c>
      <c r="K14" s="38">
        <v>2564.269841269841</v>
      </c>
      <c r="M14" s="16" t="s">
        <v>25</v>
      </c>
      <c r="N14" s="6">
        <f>N5*(N5+1)*(N6-1)/2</f>
        <v>30</v>
      </c>
      <c r="P14" t="s">
        <v>26</v>
      </c>
      <c r="Q14" s="6">
        <f>Q12/(1-N12+2/Q12)</f>
        <v>1691.6843994114142</v>
      </c>
    </row>
    <row r="15" spans="1:29" x14ac:dyDescent="0.35">
      <c r="A15" s="36">
        <v>-896.38095238095229</v>
      </c>
      <c r="B15" s="37">
        <v>1085.4285714285711</v>
      </c>
      <c r="C15" s="37">
        <v>5699.2857142857138</v>
      </c>
      <c r="D15" s="37">
        <v>3818.0476190476193</v>
      </c>
      <c r="E15" s="38">
        <v>2991.7380952380954</v>
      </c>
      <c r="G15" s="36">
        <v>723.99206349206327</v>
      </c>
      <c r="H15" s="37">
        <v>2106.0873015873017</v>
      </c>
      <c r="I15" s="37">
        <v>4497.0158730158728</v>
      </c>
      <c r="J15" s="37">
        <v>2491.4285714285711</v>
      </c>
      <c r="K15" s="38">
        <v>2710.3968253968255</v>
      </c>
      <c r="M15" s="16" t="s">
        <v>20</v>
      </c>
      <c r="N15" s="6">
        <f>CHIDIST(N13,N14)</f>
        <v>0.88609754039959765</v>
      </c>
      <c r="P15" t="s">
        <v>27</v>
      </c>
      <c r="Q15" s="6">
        <f>N11/Q13</f>
        <v>0.66799490746101364</v>
      </c>
    </row>
    <row r="16" spans="1:29" x14ac:dyDescent="0.35">
      <c r="A16" s="36">
        <v>-549.95238095238096</v>
      </c>
      <c r="B16" s="37">
        <v>888.73809523809507</v>
      </c>
      <c r="C16" s="37">
        <v>3818.0476190476193</v>
      </c>
      <c r="D16" s="37">
        <v>3628.9523809523803</v>
      </c>
      <c r="E16" s="38">
        <v>1338.7619047619048</v>
      </c>
      <c r="G16" s="36">
        <v>543.33333333333314</v>
      </c>
      <c r="H16" s="37">
        <v>1679.3095238095236</v>
      </c>
      <c r="I16" s="37">
        <v>2491.4285714285711</v>
      </c>
      <c r="J16" s="37">
        <v>3276.7142857142858</v>
      </c>
      <c r="K16" s="38">
        <v>1642.8730158730159</v>
      </c>
      <c r="M16" s="16" t="s">
        <v>28</v>
      </c>
      <c r="N16" s="6">
        <v>1E-3</v>
      </c>
      <c r="P16" t="s">
        <v>29</v>
      </c>
      <c r="Q16" s="6">
        <f>Q12*N11/(N14*(Q14-N11))</f>
        <v>0.71895314104986463</v>
      </c>
    </row>
    <row r="17" spans="1:17" x14ac:dyDescent="0.35">
      <c r="A17" s="39">
        <v>-168.92857142857133</v>
      </c>
      <c r="B17" s="40">
        <v>2671.8571428571427</v>
      </c>
      <c r="C17" s="40">
        <v>2991.7380952380954</v>
      </c>
      <c r="D17" s="40">
        <v>1338.7619047619048</v>
      </c>
      <c r="E17" s="41">
        <v>6914.4761904761908</v>
      </c>
      <c r="G17" s="39">
        <v>1190.2857142857142</v>
      </c>
      <c r="H17" s="40">
        <v>2564.269841269841</v>
      </c>
      <c r="I17" s="40">
        <v>2710.3968253968255</v>
      </c>
      <c r="J17" s="40">
        <v>1642.8730158730159</v>
      </c>
      <c r="K17" s="41">
        <v>4971.2380952380954</v>
      </c>
      <c r="M17" s="16" t="s">
        <v>30</v>
      </c>
      <c r="N17" s="6">
        <f>CHIINV(N16,N14)</f>
        <v>59.70306430442993</v>
      </c>
      <c r="P17" t="s">
        <v>18</v>
      </c>
      <c r="Q17" s="6">
        <f>IF(Q11&gt;N12^2,Q15,Q16)</f>
        <v>0.66799490746101364</v>
      </c>
    </row>
    <row r="18" spans="1:17" x14ac:dyDescent="0.35">
      <c r="M18" s="16" t="s">
        <v>31</v>
      </c>
      <c r="N18" s="17" t="str">
        <f>IF(N15&lt;N16,"yes","no")</f>
        <v>no</v>
      </c>
      <c r="P18" t="s">
        <v>20</v>
      </c>
      <c r="Q18" s="6">
        <f>FDIST(Q17,N14,Q12)</f>
        <v>0.91347717728266986</v>
      </c>
    </row>
    <row r="19" spans="1:17" x14ac:dyDescent="0.35">
      <c r="P19" t="s">
        <v>32</v>
      </c>
      <c r="Q19" s="6">
        <f>FINV(N16,N14,Q12)</f>
        <v>2.020965765571419</v>
      </c>
    </row>
    <row r="20" spans="1:17" x14ac:dyDescent="0.35">
      <c r="P20" t="s">
        <v>31</v>
      </c>
      <c r="Q20" s="17" t="str">
        <f>IF(Q18&lt;N16,"yes","no")</f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2DE8-35C0-4D3E-9CAF-581B17E225A5}">
  <sheetPr codeName="Sheet3"/>
  <dimension ref="A1:W20"/>
  <sheetViews>
    <sheetView workbookViewId="0"/>
  </sheetViews>
  <sheetFormatPr defaultRowHeight="14.5" x14ac:dyDescent="0.35"/>
  <cols>
    <col min="5" max="6" width="8.81640625" customWidth="1"/>
    <col min="7" max="7" width="6.453125" customWidth="1"/>
    <col min="8" max="8" width="8.81640625" customWidth="1"/>
    <col min="9" max="13" width="8.54296875" customWidth="1"/>
    <col min="15" max="15" width="8.81640625" customWidth="1"/>
    <col min="16" max="17" width="7.54296875" customWidth="1"/>
  </cols>
  <sheetData>
    <row r="1" spans="1:23" x14ac:dyDescent="0.35">
      <c r="A1" s="1" t="s">
        <v>0</v>
      </c>
      <c r="P1" t="s">
        <v>57</v>
      </c>
    </row>
    <row r="3" spans="1:23" x14ac:dyDescent="0.35">
      <c r="A3" t="str">
        <f>'[2]Hotel 2a'!I9</f>
        <v>Covariance - Drug</v>
      </c>
      <c r="E3" t="s">
        <v>0</v>
      </c>
      <c r="I3" s="2" t="s">
        <v>45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P3" t="s">
        <v>46</v>
      </c>
      <c r="S3" t="s">
        <v>47</v>
      </c>
      <c r="V3" t="s">
        <v>48</v>
      </c>
    </row>
    <row r="4" spans="1:23" x14ac:dyDescent="0.35">
      <c r="H4" t="s">
        <v>49</v>
      </c>
      <c r="I4" s="3">
        <f>'[2]Hotel 2a'!J7-1</f>
        <v>19</v>
      </c>
      <c r="J4" s="4">
        <f>1/I4</f>
        <v>5.2631578947368418E-2</v>
      </c>
      <c r="K4" s="4">
        <f>J4^2</f>
        <v>2.7700831024930744E-3</v>
      </c>
      <c r="L4" s="4">
        <f>MDETERM(A5:C7)</f>
        <v>4814.17369062545</v>
      </c>
      <c r="M4" s="4">
        <f>LN(L4)</f>
        <v>8.4793196980048613</v>
      </c>
      <c r="N4" s="4">
        <f>M4*I4</f>
        <v>161.10707426209237</v>
      </c>
    </row>
    <row r="5" spans="1:23" x14ac:dyDescent="0.35">
      <c r="A5" s="33">
        <v>1.0419999999999989</v>
      </c>
      <c r="B5" s="34">
        <v>-2.7947368421052605</v>
      </c>
      <c r="C5" s="35">
        <v>0.35842105263158314</v>
      </c>
      <c r="E5" t="s">
        <v>50</v>
      </c>
      <c r="F5" s="5">
        <f>COUNTA(H4:H5)</f>
        <v>2</v>
      </c>
      <c r="H5" t="s">
        <v>51</v>
      </c>
      <c r="I5" s="2">
        <f>'[2]Hotel 2a'!K7-1</f>
        <v>17</v>
      </c>
      <c r="J5">
        <f>1/I5</f>
        <v>5.8823529411764705E-2</v>
      </c>
      <c r="K5">
        <f>J5^2</f>
        <v>3.4602076124567475E-3</v>
      </c>
      <c r="L5">
        <f>MDETERM(A11:C13)</f>
        <v>2842.1891624262134</v>
      </c>
      <c r="M5">
        <f>LN(L5)</f>
        <v>7.9523298660571884</v>
      </c>
      <c r="N5">
        <f>M5*I5</f>
        <v>135.1896077229722</v>
      </c>
      <c r="P5" s="8">
        <f>A5</f>
        <v>1.0419999999999989</v>
      </c>
      <c r="Q5" s="9">
        <f>I4+1</f>
        <v>20</v>
      </c>
      <c r="S5" t="s">
        <v>11</v>
      </c>
      <c r="T5" s="5" t="e">
        <f ca="1">BOXM(P5:Q6,F6)</f>
        <v>#NAME?</v>
      </c>
      <c r="V5" t="s">
        <v>11</v>
      </c>
      <c r="W5" s="5" t="e">
        <f ca="1">BOXM(P5:Q6,F6)</f>
        <v>#NAME?</v>
      </c>
    </row>
    <row r="6" spans="1:23" x14ac:dyDescent="0.35">
      <c r="A6" s="48">
        <v>-2.7947368421052605</v>
      </c>
      <c r="B6" s="37">
        <v>59.94736842105263</v>
      </c>
      <c r="C6" s="38">
        <v>-7.8157894736842097</v>
      </c>
      <c r="E6" t="s">
        <v>12</v>
      </c>
      <c r="F6" s="7">
        <f>COUNT(A5:C5)</f>
        <v>3</v>
      </c>
      <c r="H6" t="s">
        <v>17</v>
      </c>
      <c r="I6" s="12">
        <f>SUM(I4:I5)</f>
        <v>36</v>
      </c>
      <c r="J6" s="13">
        <f>1/I6</f>
        <v>2.7777777777777776E-2</v>
      </c>
      <c r="K6" s="13">
        <f>J6^2</f>
        <v>7.716049382716049E-4</v>
      </c>
      <c r="L6" s="13">
        <f>MDETERM(A17:C19)</f>
        <v>5711.8229315926937</v>
      </c>
      <c r="M6" s="13">
        <f>LN(L6)</f>
        <v>8.6502935041679034</v>
      </c>
      <c r="N6">
        <f>M6*I6</f>
        <v>311.41056615004453</v>
      </c>
      <c r="P6" s="14">
        <f>A11</f>
        <v>1.4967320261437886</v>
      </c>
      <c r="Q6" s="15">
        <f>I5+1</f>
        <v>18</v>
      </c>
      <c r="S6" t="s">
        <v>25</v>
      </c>
      <c r="T6" s="6" t="e">
        <f ca="1">BOXdf1(P5:Q6,3)</f>
        <v>#NAME?</v>
      </c>
      <c r="V6" t="s">
        <v>52</v>
      </c>
      <c r="W6" s="6" t="e">
        <f ca="1">BOXF(P5:Q6,3)</f>
        <v>#NAME?</v>
      </c>
    </row>
    <row r="7" spans="1:23" x14ac:dyDescent="0.35">
      <c r="A7" s="39">
        <v>0.35842105263158314</v>
      </c>
      <c r="B7" s="40">
        <v>-7.8157894736842097</v>
      </c>
      <c r="C7" s="41">
        <v>89.102631578947353</v>
      </c>
      <c r="H7" t="s">
        <v>19</v>
      </c>
      <c r="I7" s="18"/>
      <c r="J7" s="4">
        <f>SUM(J4:J5)-J6</f>
        <v>8.3677330581355347E-2</v>
      </c>
      <c r="K7" s="4">
        <f>SUM(K4:K5)-K6</f>
        <v>5.458685776678217E-3</v>
      </c>
      <c r="L7" s="4"/>
      <c r="M7" s="43"/>
      <c r="N7" s="4">
        <f>N6-SUM(N4:N5)</f>
        <v>15.113884164979993</v>
      </c>
      <c r="S7" t="s">
        <v>20</v>
      </c>
      <c r="T7" s="7" t="e">
        <f ca="1">BOXTEST(P5:Q6,3,FALSE)</f>
        <v>#NAME?</v>
      </c>
      <c r="V7" t="s">
        <v>14</v>
      </c>
      <c r="W7" s="6" t="e">
        <f ca="1">BOXdf1(P5:Q6,3)</f>
        <v>#NAME?</v>
      </c>
    </row>
    <row r="8" spans="1:23" x14ac:dyDescent="0.35">
      <c r="P8" s="44" t="s">
        <v>53</v>
      </c>
      <c r="Q8" s="45">
        <v>20</v>
      </c>
      <c r="V8" t="s">
        <v>16</v>
      </c>
      <c r="W8" s="6" t="e">
        <f ca="1">BOXdf2(P5:Q6,3)</f>
        <v>#NAME?</v>
      </c>
    </row>
    <row r="9" spans="1:23" x14ac:dyDescent="0.35">
      <c r="A9" t="s">
        <v>56</v>
      </c>
      <c r="P9" s="46" t="s">
        <v>54</v>
      </c>
      <c r="Q9" s="47">
        <v>18</v>
      </c>
      <c r="V9" t="s">
        <v>20</v>
      </c>
      <c r="W9" s="7" t="e">
        <f ca="1">BOXTEST(P5:Q6,3)</f>
        <v>#NAME?</v>
      </c>
    </row>
    <row r="10" spans="1:23" x14ac:dyDescent="0.35">
      <c r="S10" t="s">
        <v>55</v>
      </c>
    </row>
    <row r="11" spans="1:23" x14ac:dyDescent="0.35">
      <c r="A11" s="33">
        <v>1.4967320261437886</v>
      </c>
      <c r="B11" s="34">
        <v>-10.430718954248354</v>
      </c>
      <c r="C11" s="35">
        <v>0.64771241830065429</v>
      </c>
      <c r="E11" t="s">
        <v>11</v>
      </c>
      <c r="F11" s="5">
        <f>N7</f>
        <v>15.113884164979993</v>
      </c>
      <c r="H11" t="s">
        <v>21</v>
      </c>
      <c r="I11" s="5">
        <f>(F6-1)*(F6+2)/(6*(F5-1))*K7</f>
        <v>9.097809627797028E-3</v>
      </c>
    </row>
    <row r="12" spans="1:23" x14ac:dyDescent="0.35">
      <c r="A12" s="48">
        <v>-10.430718954248354</v>
      </c>
      <c r="B12" s="37">
        <v>175.15359477124181</v>
      </c>
      <c r="C12" s="38">
        <v>-28.562091503267972</v>
      </c>
      <c r="E12" t="s">
        <v>22</v>
      </c>
      <c r="F12" s="6">
        <f>(2*F6^2+3*F6-1)/(6*(F6+1)*(F5-1))*J7</f>
        <v>9.0650441463134959E-2</v>
      </c>
      <c r="H12" t="s">
        <v>16</v>
      </c>
      <c r="I12" s="6">
        <f>(F14+2)/ABS(I11-F12^2)</f>
        <v>9087.7377767667494</v>
      </c>
      <c r="S12" s="8" t="e">
        <f t="array" aca="1" ref="S12:U14" ca="1">COVPooled(P5:Q6,3)</f>
        <v>#NAME?</v>
      </c>
      <c r="T12" s="4" t="e">
        <f ca="1"/>
        <v>#NAME?</v>
      </c>
      <c r="U12" s="9" t="e">
        <f ca="1"/>
        <v>#NAME?</v>
      </c>
    </row>
    <row r="13" spans="1:23" x14ac:dyDescent="0.35">
      <c r="A13" s="39">
        <v>0.64771241830065429</v>
      </c>
      <c r="B13" s="40">
        <v>-28.562091503267972</v>
      </c>
      <c r="C13" s="41">
        <v>24.457516339869276</v>
      </c>
      <c r="E13" s="16" t="s">
        <v>23</v>
      </c>
      <c r="F13" s="6">
        <f>F11*(1-F12)</f>
        <v>13.743803893201871</v>
      </c>
      <c r="H13" t="s">
        <v>24</v>
      </c>
      <c r="I13" s="6">
        <f>F14/(1-F12-F14/I12)</f>
        <v>6.6029167655782279</v>
      </c>
      <c r="S13" s="42" t="e">
        <f ca="1"/>
        <v>#NAME?</v>
      </c>
      <c r="T13" t="e">
        <f ca="1"/>
        <v>#NAME?</v>
      </c>
      <c r="U13" s="11" t="e">
        <f ca="1"/>
        <v>#NAME?</v>
      </c>
    </row>
    <row r="14" spans="1:23" x14ac:dyDescent="0.35">
      <c r="E14" s="16" t="s">
        <v>25</v>
      </c>
      <c r="F14" s="6">
        <f>F6*(F6+1)*(F5-1)/2</f>
        <v>6</v>
      </c>
      <c r="H14" t="s">
        <v>26</v>
      </c>
      <c r="I14" s="6">
        <f>I12/(1-F12+2/I12)</f>
        <v>9991.2501736878748</v>
      </c>
      <c r="S14" s="14" t="e">
        <f ca="1"/>
        <v>#NAME?</v>
      </c>
      <c r="T14" s="13" t="e">
        <f ca="1"/>
        <v>#NAME?</v>
      </c>
      <c r="U14" s="15" t="e">
        <f ca="1"/>
        <v>#NAME?</v>
      </c>
    </row>
    <row r="15" spans="1:23" x14ac:dyDescent="0.35">
      <c r="A15" t="str">
        <f>'[2]Hotel 2a'!Q9</f>
        <v>Covariance - Pooled</v>
      </c>
      <c r="E15" s="16" t="s">
        <v>20</v>
      </c>
      <c r="F15" s="6">
        <f>CHIDIST(F13,F14)</f>
        <v>3.2632685034474126E-2</v>
      </c>
      <c r="H15" t="s">
        <v>27</v>
      </c>
      <c r="I15" s="6">
        <f>F11/I13</f>
        <v>2.2889708747761937</v>
      </c>
    </row>
    <row r="16" spans="1:23" x14ac:dyDescent="0.35">
      <c r="E16" s="16" t="s">
        <v>28</v>
      </c>
      <c r="F16" s="6">
        <v>0.05</v>
      </c>
      <c r="H16" t="s">
        <v>29</v>
      </c>
      <c r="I16" s="6">
        <f>I12*F11/(F14*(I14-F11))</f>
        <v>2.2946595103492755</v>
      </c>
    </row>
    <row r="17" spans="1:9" x14ac:dyDescent="0.35">
      <c r="A17" s="33">
        <f t="array" ref="A17:C19">(A5:C7*I4+A11:C13*I5)/I6</f>
        <v>1.2567345679012329</v>
      </c>
      <c r="B17" s="34">
        <v>-6.400617283950611</v>
      </c>
      <c r="C17" s="35">
        <v>0.49503086419753345</v>
      </c>
      <c r="E17" s="16" t="s">
        <v>30</v>
      </c>
      <c r="F17" s="6">
        <f>CHIINV(F16,F14)</f>
        <v>12.591587243743978</v>
      </c>
      <c r="H17" t="s">
        <v>18</v>
      </c>
      <c r="I17" s="6">
        <f>IF(I11&gt;F12^2,I15,I16)</f>
        <v>2.2889708747761937</v>
      </c>
    </row>
    <row r="18" spans="1:9" x14ac:dyDescent="0.35">
      <c r="A18" s="48">
        <v>-6.400617283950611</v>
      </c>
      <c r="B18" s="37">
        <v>114.35030864197532</v>
      </c>
      <c r="C18" s="38">
        <v>-17.612654320987655</v>
      </c>
      <c r="E18" s="16" t="s">
        <v>31</v>
      </c>
      <c r="F18" s="17" t="str">
        <f>IF(F15&lt;F16,"yes","no")</f>
        <v>yes</v>
      </c>
      <c r="H18" t="s">
        <v>20</v>
      </c>
      <c r="I18" s="6">
        <f>FDIST(I17,F14,I12)</f>
        <v>3.2845360381327467E-2</v>
      </c>
    </row>
    <row r="19" spans="1:9" x14ac:dyDescent="0.35">
      <c r="A19" s="39">
        <v>0.49503086419753345</v>
      </c>
      <c r="B19" s="40">
        <v>-17.612654320987655</v>
      </c>
      <c r="C19" s="41">
        <v>58.575771604938268</v>
      </c>
      <c r="H19" t="s">
        <v>32</v>
      </c>
      <c r="I19" s="6">
        <f>FINV(F16,F14,I12)</f>
        <v>2.0995901868025331</v>
      </c>
    </row>
    <row r="20" spans="1:9" x14ac:dyDescent="0.35">
      <c r="H20" t="s">
        <v>31</v>
      </c>
      <c r="I20" s="17" t="str">
        <f>IF(I18&lt;F16,"yes","no")</f>
        <v>yes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FAA2-A401-4657-A3FC-A979C399BA1E}">
  <sheetPr codeName="Sheet1"/>
  <dimension ref="A1:J35"/>
  <sheetViews>
    <sheetView workbookViewId="0"/>
  </sheetViews>
  <sheetFormatPr defaultRowHeight="14.5" x14ac:dyDescent="0.35"/>
  <sheetData>
    <row r="1" spans="1:10" x14ac:dyDescent="0.35">
      <c r="A1" s="1" t="s">
        <v>33</v>
      </c>
      <c r="F1" t="s">
        <v>0</v>
      </c>
      <c r="I1" t="s">
        <v>0</v>
      </c>
    </row>
    <row r="3" spans="1:10" x14ac:dyDescent="0.35">
      <c r="B3" s="18" t="s">
        <v>34</v>
      </c>
      <c r="C3" s="18" t="s">
        <v>35</v>
      </c>
      <c r="D3" s="18" t="s">
        <v>36</v>
      </c>
      <c r="F3" t="s">
        <v>11</v>
      </c>
      <c r="G3" s="19" t="e">
        <f ca="1">BOXM(A4:D35)</f>
        <v>#NAME?</v>
      </c>
      <c r="I3" t="s">
        <v>11</v>
      </c>
      <c r="J3" s="5" t="e">
        <f t="array" aca="1" ref="J3:J7" ca="1">BOX(A4:D35)</f>
        <v>#NAME?</v>
      </c>
    </row>
    <row r="4" spans="1:10" x14ac:dyDescent="0.35">
      <c r="A4" t="s">
        <v>37</v>
      </c>
      <c r="B4" s="20">
        <v>76.7</v>
      </c>
      <c r="C4" s="21">
        <v>29.5</v>
      </c>
      <c r="D4" s="22">
        <v>7.5</v>
      </c>
      <c r="F4" t="s">
        <v>14</v>
      </c>
      <c r="G4" s="23" t="e">
        <f ca="1">BOXdf1(A4:D35)</f>
        <v>#NAME?</v>
      </c>
      <c r="I4" t="s">
        <v>14</v>
      </c>
      <c r="J4" s="6" t="e">
        <f ca="1"/>
        <v>#NAME?</v>
      </c>
    </row>
    <row r="5" spans="1:10" x14ac:dyDescent="0.35">
      <c r="A5" t="s">
        <v>37</v>
      </c>
      <c r="B5" s="24">
        <v>60.5</v>
      </c>
      <c r="C5" s="25">
        <v>32.1</v>
      </c>
      <c r="D5" s="26">
        <v>6.3</v>
      </c>
      <c r="F5" t="s">
        <v>16</v>
      </c>
      <c r="G5" s="23" t="e">
        <f ca="1">BOXdf2(A4:D35)</f>
        <v>#NAME?</v>
      </c>
      <c r="I5" t="s">
        <v>16</v>
      </c>
      <c r="J5" s="6" t="e">
        <f ca="1"/>
        <v>#NAME?</v>
      </c>
    </row>
    <row r="6" spans="1:10" x14ac:dyDescent="0.35">
      <c r="A6" t="s">
        <v>37</v>
      </c>
      <c r="B6" s="24">
        <v>96.1</v>
      </c>
      <c r="C6" s="25">
        <v>40.700000000000003</v>
      </c>
      <c r="D6" s="26">
        <v>4.2</v>
      </c>
      <c r="F6" t="s">
        <v>18</v>
      </c>
      <c r="G6" s="23" t="e">
        <f ca="1">BOXF(A4:D35)</f>
        <v>#NAME?</v>
      </c>
      <c r="I6" t="s">
        <v>18</v>
      </c>
      <c r="J6" s="6" t="e">
        <f ca="1"/>
        <v>#NAME?</v>
      </c>
    </row>
    <row r="7" spans="1:10" x14ac:dyDescent="0.35">
      <c r="A7" t="s">
        <v>37</v>
      </c>
      <c r="B7" s="24">
        <v>88.1</v>
      </c>
      <c r="C7" s="25">
        <v>45.1</v>
      </c>
      <c r="D7" s="26">
        <v>4.9000000000000004</v>
      </c>
      <c r="F7" t="s">
        <v>20</v>
      </c>
      <c r="G7" s="27" t="e">
        <f ca="1">BOXTEST(A4:D35)</f>
        <v>#NAME?</v>
      </c>
      <c r="I7" t="s">
        <v>20</v>
      </c>
      <c r="J7" s="7" t="e">
        <f ca="1"/>
        <v>#NAME?</v>
      </c>
    </row>
    <row r="8" spans="1:10" x14ac:dyDescent="0.35">
      <c r="A8" t="s">
        <v>37</v>
      </c>
      <c r="B8" s="24">
        <v>50.2</v>
      </c>
      <c r="C8" s="25">
        <v>34.1</v>
      </c>
      <c r="D8" s="26">
        <v>11.7</v>
      </c>
    </row>
    <row r="9" spans="1:10" x14ac:dyDescent="0.35">
      <c r="A9" t="s">
        <v>37</v>
      </c>
      <c r="B9" s="24">
        <v>55</v>
      </c>
      <c r="C9" s="25">
        <v>31.1</v>
      </c>
      <c r="D9" s="26">
        <v>6.9</v>
      </c>
    </row>
    <row r="10" spans="1:10" x14ac:dyDescent="0.35">
      <c r="A10" t="s">
        <v>37</v>
      </c>
      <c r="B10" s="24">
        <v>65.400000000000006</v>
      </c>
      <c r="C10" s="25">
        <v>21.6</v>
      </c>
      <c r="D10" s="26">
        <v>4.3</v>
      </c>
    </row>
    <row r="11" spans="1:10" x14ac:dyDescent="0.35">
      <c r="A11" t="s">
        <v>37</v>
      </c>
      <c r="B11" s="24">
        <v>65.7</v>
      </c>
      <c r="C11" s="25">
        <v>27.7</v>
      </c>
      <c r="D11" s="26">
        <v>5.3</v>
      </c>
    </row>
    <row r="12" spans="1:10" x14ac:dyDescent="0.35">
      <c r="A12" t="s">
        <v>38</v>
      </c>
      <c r="B12" s="24">
        <v>67.3</v>
      </c>
      <c r="C12" s="25">
        <v>48.3</v>
      </c>
      <c r="D12" s="26">
        <v>5.5</v>
      </c>
    </row>
    <row r="13" spans="1:10" x14ac:dyDescent="0.35">
      <c r="A13" t="s">
        <v>38</v>
      </c>
      <c r="B13" s="24">
        <v>61.3</v>
      </c>
      <c r="C13" s="25">
        <v>28.9</v>
      </c>
      <c r="D13" s="26">
        <v>6.9</v>
      </c>
    </row>
    <row r="14" spans="1:10" x14ac:dyDescent="0.35">
      <c r="A14" t="s">
        <v>38</v>
      </c>
      <c r="B14" s="24">
        <v>58.2</v>
      </c>
      <c r="C14" s="25">
        <v>42.5</v>
      </c>
      <c r="D14" s="26">
        <v>4.8</v>
      </c>
    </row>
    <row r="15" spans="1:10" x14ac:dyDescent="0.35">
      <c r="A15" t="s">
        <v>38</v>
      </c>
      <c r="B15" s="24">
        <v>76.900000000000006</v>
      </c>
      <c r="C15" s="25">
        <v>20.399999999999999</v>
      </c>
      <c r="D15" s="26">
        <v>3</v>
      </c>
    </row>
    <row r="16" spans="1:10" x14ac:dyDescent="0.35">
      <c r="A16" t="s">
        <v>38</v>
      </c>
      <c r="B16" s="24">
        <v>66.900000000000006</v>
      </c>
      <c r="C16" s="25">
        <v>23.9</v>
      </c>
      <c r="D16" s="26">
        <v>1.1000000000000001</v>
      </c>
    </row>
    <row r="17" spans="1:4" x14ac:dyDescent="0.35">
      <c r="A17" t="s">
        <v>38</v>
      </c>
      <c r="B17" s="24">
        <v>55.4</v>
      </c>
      <c r="C17" s="25">
        <v>29.1</v>
      </c>
      <c r="D17" s="26">
        <v>5</v>
      </c>
    </row>
    <row r="18" spans="1:4" x14ac:dyDescent="0.35">
      <c r="A18" t="s">
        <v>38</v>
      </c>
      <c r="B18" s="24">
        <v>50.5</v>
      </c>
      <c r="C18" s="25">
        <v>18</v>
      </c>
      <c r="D18" s="26">
        <v>4.8</v>
      </c>
    </row>
    <row r="19" spans="1:4" x14ac:dyDescent="0.35">
      <c r="A19" t="s">
        <v>38</v>
      </c>
      <c r="B19" s="24">
        <v>64.099999999999994</v>
      </c>
      <c r="C19" s="25">
        <v>14.5</v>
      </c>
      <c r="D19" s="26">
        <v>3.7</v>
      </c>
    </row>
    <row r="20" spans="1:4" x14ac:dyDescent="0.35">
      <c r="A20" t="s">
        <v>39</v>
      </c>
      <c r="B20" s="24">
        <v>62.8</v>
      </c>
      <c r="C20" s="25">
        <v>25.9</v>
      </c>
      <c r="D20" s="26">
        <v>2.9</v>
      </c>
    </row>
    <row r="21" spans="1:4" x14ac:dyDescent="0.35">
      <c r="A21" t="s">
        <v>39</v>
      </c>
      <c r="B21" s="24">
        <v>45</v>
      </c>
      <c r="C21" s="25">
        <v>15.9</v>
      </c>
      <c r="D21" s="26">
        <v>1.2</v>
      </c>
    </row>
    <row r="22" spans="1:4" x14ac:dyDescent="0.35">
      <c r="A22" t="s">
        <v>39</v>
      </c>
      <c r="B22" s="24">
        <v>47.8</v>
      </c>
      <c r="C22" s="25">
        <v>36.1</v>
      </c>
      <c r="D22" s="26">
        <v>4.0999999999999996</v>
      </c>
    </row>
    <row r="23" spans="1:4" x14ac:dyDescent="0.35">
      <c r="A23" t="s">
        <v>39</v>
      </c>
      <c r="B23" s="24">
        <v>75.599999999999994</v>
      </c>
      <c r="C23" s="25">
        <v>27.7</v>
      </c>
      <c r="D23" s="26">
        <v>6.3</v>
      </c>
    </row>
    <row r="24" spans="1:4" x14ac:dyDescent="0.35">
      <c r="A24" t="s">
        <v>39</v>
      </c>
      <c r="B24" s="24">
        <v>46.6</v>
      </c>
      <c r="C24" s="25">
        <v>46.9</v>
      </c>
      <c r="D24" s="26">
        <v>3.6</v>
      </c>
    </row>
    <row r="25" spans="1:4" x14ac:dyDescent="0.35">
      <c r="A25" t="s">
        <v>39</v>
      </c>
      <c r="B25" s="24">
        <v>50.6</v>
      </c>
      <c r="C25" s="25">
        <v>29.7</v>
      </c>
      <c r="D25" s="26">
        <v>4.7</v>
      </c>
    </row>
    <row r="26" spans="1:4" x14ac:dyDescent="0.35">
      <c r="A26" t="s">
        <v>39</v>
      </c>
      <c r="B26" s="24">
        <v>45.7</v>
      </c>
      <c r="C26" s="25">
        <v>27.6</v>
      </c>
      <c r="D26" s="26">
        <v>6.2</v>
      </c>
    </row>
    <row r="27" spans="1:4" x14ac:dyDescent="0.35">
      <c r="A27" t="s">
        <v>39</v>
      </c>
      <c r="B27" s="24">
        <v>68.400000000000006</v>
      </c>
      <c r="C27" s="25">
        <v>35.299999999999997</v>
      </c>
      <c r="D27" s="26">
        <v>1.9</v>
      </c>
    </row>
    <row r="28" spans="1:4" x14ac:dyDescent="0.35">
      <c r="A28" t="s">
        <v>40</v>
      </c>
      <c r="B28" s="24">
        <v>52.5</v>
      </c>
      <c r="C28" s="25">
        <v>39</v>
      </c>
      <c r="D28" s="26">
        <v>3.1</v>
      </c>
    </row>
    <row r="29" spans="1:4" x14ac:dyDescent="0.35">
      <c r="A29" t="s">
        <v>40</v>
      </c>
      <c r="B29" s="24">
        <v>80</v>
      </c>
      <c r="C29" s="25">
        <v>54.2</v>
      </c>
      <c r="D29" s="26">
        <v>4</v>
      </c>
    </row>
    <row r="30" spans="1:4" x14ac:dyDescent="0.35">
      <c r="A30" t="s">
        <v>40</v>
      </c>
      <c r="B30" s="24">
        <v>54.7</v>
      </c>
      <c r="C30" s="25">
        <v>32.1</v>
      </c>
      <c r="D30" s="26">
        <v>5.7</v>
      </c>
    </row>
    <row r="31" spans="1:4" x14ac:dyDescent="0.35">
      <c r="A31" t="s">
        <v>40</v>
      </c>
      <c r="B31" s="24">
        <v>63.5</v>
      </c>
      <c r="C31" s="25">
        <v>25.6</v>
      </c>
      <c r="D31" s="26">
        <v>3</v>
      </c>
    </row>
    <row r="32" spans="1:4" x14ac:dyDescent="0.35">
      <c r="A32" t="s">
        <v>40</v>
      </c>
      <c r="B32" s="24">
        <v>46.3</v>
      </c>
      <c r="C32" s="25">
        <v>31.8</v>
      </c>
      <c r="D32" s="26">
        <v>7.4</v>
      </c>
    </row>
    <row r="33" spans="1:4" x14ac:dyDescent="0.35">
      <c r="A33" t="s">
        <v>40</v>
      </c>
      <c r="B33" s="24">
        <v>61.5</v>
      </c>
      <c r="C33" s="25">
        <v>16.8</v>
      </c>
      <c r="D33" s="26">
        <v>1.9</v>
      </c>
    </row>
    <row r="34" spans="1:4" x14ac:dyDescent="0.35">
      <c r="A34" t="s">
        <v>40</v>
      </c>
      <c r="B34" s="24">
        <v>62.9</v>
      </c>
      <c r="C34" s="25">
        <v>25.8</v>
      </c>
      <c r="D34" s="26">
        <v>2.4</v>
      </c>
    </row>
    <row r="35" spans="1:4" x14ac:dyDescent="0.35">
      <c r="A35" t="s">
        <v>40</v>
      </c>
      <c r="B35" s="28">
        <v>49.3</v>
      </c>
      <c r="C35" s="29">
        <v>39.4</v>
      </c>
      <c r="D35" s="30">
        <v>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BOX</vt:lpstr>
      <vt:lpstr>Hotelling</vt:lpstr>
      <vt:lpstr>Manova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2023-01-14T16:13:02Z</dcterms:created>
  <dcterms:modified xsi:type="dcterms:W3CDTF">2023-01-14T17:20:56Z</dcterms:modified>
</cp:coreProperties>
</file>