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B5E9C7D-AB00-4424-8284-AC9AC72263EF}" xr6:coauthVersionLast="47" xr6:coauthVersionMax="47" xr10:uidLastSave="{00000000-0000-0000-0000-000000000000}"/>
  <bookViews>
    <workbookView xWindow="-110" yWindow="-110" windowWidth="19420" windowHeight="10300" xr2:uid="{AE65CD32-B78F-4A11-B96B-2B2D721765C0}"/>
  </bookViews>
  <sheets>
    <sheet name="Title" sheetId="3" r:id="rId1"/>
    <sheet name="Example" sheetId="1" r:id="rId2"/>
    <sheet name="Tool" sheetId="2" r:id="rId3"/>
  </sheets>
  <externalReferences>
    <externalReference r:id="rId4"/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F7" i="2" s="1"/>
  <c r="F8" i="2" s="1"/>
  <c r="E10" i="2" a="1"/>
  <c r="E10" i="2" s="1"/>
  <c r="F6" i="2" s="1"/>
  <c r="E6" i="2" a="1"/>
  <c r="E6" i="2" s="1"/>
  <c r="F23" i="1"/>
  <c r="E23" i="1"/>
  <c r="F22" i="1"/>
  <c r="E22" i="1"/>
  <c r="AK21" i="1"/>
  <c r="F21" i="1"/>
  <c r="E21" i="1"/>
  <c r="AK20" i="1"/>
  <c r="F20" i="1"/>
  <c r="E20" i="1"/>
  <c r="AH19" i="1"/>
  <c r="AA19" i="1" a="1"/>
  <c r="AA19" i="1" s="1"/>
  <c r="F19" i="1"/>
  <c r="E19" i="1"/>
  <c r="AB18" i="1" a="1"/>
  <c r="AC19" i="1" s="1"/>
  <c r="F18" i="1"/>
  <c r="E18" i="1"/>
  <c r="F17" i="1"/>
  <c r="E17" i="1"/>
  <c r="F16" i="1"/>
  <c r="E16" i="1"/>
  <c r="F15" i="1"/>
  <c r="E15" i="1"/>
  <c r="F14" i="1"/>
  <c r="E14" i="1"/>
  <c r="F13" i="1"/>
  <c r="E13" i="1"/>
  <c r="AP12" i="1"/>
  <c r="AP13" i="1" s="1"/>
  <c r="F12" i="1"/>
  <c r="E12" i="1"/>
  <c r="AP11" i="1"/>
  <c r="F11" i="1"/>
  <c r="E11" i="1"/>
  <c r="AQ10" i="1" a="1"/>
  <c r="AQ23" i="1" s="1"/>
  <c r="F10" i="1"/>
  <c r="E10" i="1"/>
  <c r="F9" i="1"/>
  <c r="E9" i="1"/>
  <c r="F8" i="1"/>
  <c r="E8" i="1"/>
  <c r="F7" i="1"/>
  <c r="E7" i="1"/>
  <c r="AN6" i="1"/>
  <c r="V6" i="1"/>
  <c r="F6" i="1"/>
  <c r="AK13" i="1" s="1"/>
  <c r="E6" i="1"/>
  <c r="AV5" i="1"/>
  <c r="AV7" i="1" s="1"/>
  <c r="F5" i="1"/>
  <c r="AK15" i="1" s="1"/>
  <c r="E5" i="1"/>
  <c r="Q3" i="1" s="1"/>
  <c r="AV4" i="1"/>
  <c r="S4" i="1"/>
  <c r="Q4" i="1"/>
  <c r="F4" i="1"/>
  <c r="AK10" i="1" s="1"/>
  <c r="E4" i="1"/>
  <c r="AB13" i="1" s="1"/>
  <c r="AV3" i="1"/>
  <c r="AN3" i="1"/>
  <c r="AK3" i="1"/>
  <c r="S3" i="1"/>
  <c r="S2" i="1"/>
  <c r="Q2" i="1"/>
  <c r="AB19" i="1" l="1"/>
  <c r="AD19" i="1" s="1"/>
  <c r="AC18" i="1"/>
  <c r="AB18" i="1"/>
  <c r="AQ16" i="1"/>
  <c r="AQ24" i="1"/>
  <c r="AS24" i="1" s="1"/>
  <c r="AK12" i="1"/>
  <c r="Q7" i="1"/>
  <c r="X6" i="1"/>
  <c r="AP14" i="1"/>
  <c r="G6" i="2"/>
  <c r="E7" i="2"/>
  <c r="H6" i="2"/>
  <c r="E8" i="2"/>
  <c r="AQ6" i="1"/>
  <c r="AQ25" i="1"/>
  <c r="AN8" i="1"/>
  <c r="AK18" i="1"/>
  <c r="Q8" i="1"/>
  <c r="AQ17" i="1"/>
  <c r="AS17" i="1" s="1"/>
  <c r="AK17" i="1"/>
  <c r="AK4" i="1"/>
  <c r="AK5" i="1"/>
  <c r="AQ10" i="1"/>
  <c r="AQ18" i="1"/>
  <c r="AS18" i="1" s="1"/>
  <c r="AQ26" i="1"/>
  <c r="AS26" i="1" s="1"/>
  <c r="AK11" i="1"/>
  <c r="AQ11" i="1"/>
  <c r="AS11" i="1" s="1"/>
  <c r="AN10" i="1"/>
  <c r="AN4" i="1" s="1"/>
  <c r="AN5" i="1" s="1"/>
  <c r="AK9" i="1"/>
  <c r="AQ7" i="1"/>
  <c r="AS23" i="1" s="1"/>
  <c r="AQ13" i="1"/>
  <c r="AS13" i="1" s="1"/>
  <c r="AQ21" i="1"/>
  <c r="AS21" i="1" s="1"/>
  <c r="AQ29" i="1"/>
  <c r="AS29" i="1" s="1"/>
  <c r="AK14" i="1"/>
  <c r="AK19" i="1"/>
  <c r="AK7" i="1"/>
  <c r="AQ19" i="1"/>
  <c r="AK16" i="1"/>
  <c r="AQ5" i="1"/>
  <c r="AR5" i="1" s="1"/>
  <c r="AR10" i="1" s="1"/>
  <c r="Y6" i="1"/>
  <c r="AC15" i="1"/>
  <c r="AQ14" i="1"/>
  <c r="AS14" i="1" s="1"/>
  <c r="AQ22" i="1"/>
  <c r="AS22" i="1" s="1"/>
  <c r="W2" i="1"/>
  <c r="W3" i="1" s="1"/>
  <c r="AB9" i="1"/>
  <c r="AQ27" i="1"/>
  <c r="AS27" i="1" s="1"/>
  <c r="AN7" i="1"/>
  <c r="AQ12" i="1"/>
  <c r="AS12" i="1" s="1"/>
  <c r="AQ20" i="1"/>
  <c r="AS20" i="1" s="1"/>
  <c r="AQ28" i="1"/>
  <c r="AS28" i="1" s="1"/>
  <c r="Q5" i="1"/>
  <c r="W6" i="1" s="1"/>
  <c r="AK6" i="1"/>
  <c r="AK8" i="1"/>
  <c r="AQ15" i="1"/>
  <c r="AS15" i="1" s="1"/>
  <c r="AC13" i="1"/>
  <c r="AD18" i="1" l="1"/>
  <c r="AS16" i="1"/>
  <c r="AC14" i="1"/>
  <c r="AE5" i="1" s="1"/>
  <c r="AE6" i="1" s="1"/>
  <c r="H7" i="2"/>
  <c r="G7" i="2"/>
  <c r="AR13" i="1"/>
  <c r="AB6" i="1"/>
  <c r="AD13" i="1"/>
  <c r="V7" i="1"/>
  <c r="AR12" i="1"/>
  <c r="H8" i="2"/>
  <c r="G8" i="2"/>
  <c r="AR14" i="1"/>
  <c r="AP15" i="1"/>
  <c r="AS10" i="1"/>
  <c r="AB15" i="1"/>
  <c r="AB14" i="1" s="1"/>
  <c r="AE18" i="1"/>
  <c r="AS19" i="1"/>
  <c r="V8" i="1"/>
  <c r="AS25" i="1"/>
  <c r="W7" i="1"/>
  <c r="W8" i="1" s="1"/>
  <c r="AR11" i="1"/>
  <c r="AE7" i="1" l="1"/>
  <c r="AD14" i="1"/>
  <c r="AB8" i="1" s="1"/>
  <c r="AG19" i="1"/>
  <c r="AF19" i="1"/>
  <c r="AE19" i="1"/>
  <c r="AF18" i="1"/>
  <c r="AG18" i="1"/>
  <c r="X7" i="1"/>
  <c r="X2" i="1"/>
  <c r="X3" i="1" s="1"/>
  <c r="Y7" i="1"/>
  <c r="AB5" i="1"/>
  <c r="AB7" i="1"/>
  <c r="Y2" i="1"/>
  <c r="Y3" i="1" s="1"/>
  <c r="X8" i="1"/>
  <c r="Y8" i="1"/>
  <c r="AR15" i="1"/>
  <c r="AP16" i="1"/>
  <c r="AE13" i="1" l="1"/>
  <c r="AF13" i="1" s="1"/>
  <c r="AG13" i="1" s="1"/>
  <c r="AR16" i="1"/>
  <c r="AP17" i="1"/>
  <c r="AR17" i="1" l="1"/>
  <c r="AP18" i="1"/>
  <c r="AP19" i="1" l="1"/>
  <c r="AR18" i="1"/>
  <c r="AR19" i="1" l="1"/>
  <c r="AP20" i="1"/>
  <c r="AR20" i="1" l="1"/>
  <c r="AP21" i="1"/>
  <c r="AP22" i="1" l="1"/>
  <c r="AR21" i="1"/>
  <c r="AP23" i="1" l="1"/>
  <c r="AR22" i="1"/>
  <c r="AP24" i="1" l="1"/>
  <c r="AR23" i="1"/>
  <c r="AR24" i="1" l="1"/>
  <c r="AP25" i="1"/>
  <c r="AR25" i="1" l="1"/>
  <c r="AP26" i="1"/>
  <c r="AR26" i="1" l="1"/>
  <c r="AP27" i="1"/>
  <c r="AP28" i="1" l="1"/>
  <c r="AR27" i="1"/>
  <c r="AP29" i="1" l="1"/>
  <c r="AR29" i="1" s="1"/>
  <c r="AR28" i="1"/>
</calcChain>
</file>

<file path=xl/sharedStrings.xml><?xml version="1.0" encoding="utf-8"?>
<sst xmlns="http://schemas.openxmlformats.org/spreadsheetml/2006/main" count="114" uniqueCount="90">
  <si>
    <t>Bland-Altman</t>
  </si>
  <si>
    <t>x</t>
  </si>
  <si>
    <t>mean</t>
  </si>
  <si>
    <t>lower</t>
  </si>
  <si>
    <t>upper</t>
  </si>
  <si>
    <t>Descriptive Statistics</t>
  </si>
  <si>
    <t>Box Plot</t>
  </si>
  <si>
    <t>QQ Plot</t>
  </si>
  <si>
    <t>Shapiro-Wilk Test</t>
  </si>
  <si>
    <t>r</t>
  </si>
  <si>
    <t>x min</t>
  </si>
  <si>
    <t>Regression Analysis</t>
  </si>
  <si>
    <t>Old</t>
  </si>
  <si>
    <t>New</t>
  </si>
  <si>
    <t>X</t>
  </si>
  <si>
    <t>Y</t>
  </si>
  <si>
    <t>n</t>
  </si>
  <si>
    <t>x max</t>
  </si>
  <si>
    <t>QQ Tables</t>
  </si>
  <si>
    <t>mean d</t>
  </si>
  <si>
    <t>OVERALL FIT</t>
  </si>
  <si>
    <t>Mean</t>
  </si>
  <si>
    <t>Min</t>
  </si>
  <si>
    <t>W</t>
  </si>
  <si>
    <r>
      <t>s</t>
    </r>
    <r>
      <rPr>
        <vertAlign val="subscript"/>
        <sz val="11"/>
        <rFont val="Calibri"/>
        <family val="2"/>
        <scheme val="minor"/>
      </rPr>
      <t>d</t>
    </r>
  </si>
  <si>
    <t>=STDEV.S(F4:F23)</t>
  </si>
  <si>
    <t>s.e.</t>
  </si>
  <si>
    <t>Multiple R</t>
  </si>
  <si>
    <t>AIC</t>
  </si>
  <si>
    <t>Standard Error</t>
  </si>
  <si>
    <t>Q1-Min</t>
  </si>
  <si>
    <t>Count</t>
  </si>
  <si>
    <t>p-value</t>
  </si>
  <si>
    <t>alpha</t>
  </si>
  <si>
    <t>R Square</t>
  </si>
  <si>
    <t>AICc</t>
  </si>
  <si>
    <t>Median</t>
  </si>
  <si>
    <t>Med-Q1</t>
  </si>
  <si>
    <t>=Q4-Q5*NORM.S.INV(1-Q6/2)</t>
  </si>
  <si>
    <t>Adjusted R Square</t>
  </si>
  <si>
    <t>SBC</t>
  </si>
  <si>
    <t>Mode</t>
  </si>
  <si>
    <t>Q3-Med</t>
  </si>
  <si>
    <t>Std Dev</t>
  </si>
  <si>
    <t>normal</t>
  </si>
  <si>
    <t>=Q4+Q5*NORM.S.INV(1-Q6/2)</t>
  </si>
  <si>
    <t>Standard Deviation</t>
  </si>
  <si>
    <t>Max-Q3</t>
  </si>
  <si>
    <t>Observations</t>
  </si>
  <si>
    <t>Sample Variance</t>
  </si>
  <si>
    <t>Interval</t>
  </si>
  <si>
    <t>Data</t>
  </si>
  <si>
    <t>Std Norm</t>
  </si>
  <si>
    <t>Std Data</t>
  </si>
  <si>
    <t>Kurtosis</t>
  </si>
  <si>
    <t>Grand Min</t>
  </si>
  <si>
    <t>ANOVA</t>
  </si>
  <si>
    <t>Alpha</t>
  </si>
  <si>
    <t>Skewness</t>
  </si>
  <si>
    <t>df</t>
  </si>
  <si>
    <t>SS</t>
  </si>
  <si>
    <t>MS</t>
  </si>
  <si>
    <t>F</t>
  </si>
  <si>
    <t>sig</t>
  </si>
  <si>
    <t>Range</t>
  </si>
  <si>
    <t>Regression</t>
  </si>
  <si>
    <t>Maximum</t>
  </si>
  <si>
    <t>Residual</t>
  </si>
  <si>
    <t>Minimum</t>
  </si>
  <si>
    <t>Total</t>
  </si>
  <si>
    <t>Sum</t>
  </si>
  <si>
    <t>coeff</t>
  </si>
  <si>
    <t>std err</t>
  </si>
  <si>
    <t>t stat</t>
  </si>
  <si>
    <t>vif</t>
  </si>
  <si>
    <t>Geometric Mean</t>
  </si>
  <si>
    <t>Intercept</t>
  </si>
  <si>
    <t>Harmonic Mean</t>
  </si>
  <si>
    <t>AAD</t>
  </si>
  <si>
    <t>MAD</t>
  </si>
  <si>
    <t>IQR</t>
  </si>
  <si>
    <t>value</t>
  </si>
  <si>
    <t>mean diff</t>
  </si>
  <si>
    <t>lower limit</t>
  </si>
  <si>
    <t>upper limit</t>
  </si>
  <si>
    <t>stdev diff</t>
  </si>
  <si>
    <t>sample size</t>
  </si>
  <si>
    <t>Real Statistics Using Excel</t>
  </si>
  <si>
    <t>Updated</t>
  </si>
  <si>
    <t>Copyright © 2013 - 2022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</si>
</sst>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20" xfId="0" applyFont="1" applyBorder="1" applyAlignment="1">
      <alignment horizontal="center"/>
    </xf>
    <xf numFmtId="164" fontId="2" fillId="0" borderId="8" xfId="0" applyNumberFormat="1" applyFont="1" applyBorder="1"/>
    <xf numFmtId="0" fontId="2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2" xfId="0" applyBorder="1"/>
    <xf numFmtId="0" fontId="0" fillId="0" borderId="18" xfId="0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Correlation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Example!$B$3</c:f>
              <c:strCache>
                <c:ptCount val="1"/>
                <c:pt idx="0">
                  <c:v>New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Example!$A$4:$A$23</c:f>
              <c:numCache>
                <c:formatCode>0.0</c:formatCode>
                <c:ptCount val="20"/>
                <c:pt idx="0">
                  <c:v>38.799999999999997</c:v>
                </c:pt>
                <c:pt idx="1">
                  <c:v>43.7</c:v>
                </c:pt>
                <c:pt idx="2">
                  <c:v>45.8</c:v>
                </c:pt>
                <c:pt idx="3">
                  <c:v>50.3</c:v>
                </c:pt>
                <c:pt idx="4">
                  <c:v>56.5</c:v>
                </c:pt>
                <c:pt idx="5">
                  <c:v>61.5</c:v>
                </c:pt>
                <c:pt idx="6">
                  <c:v>62.2</c:v>
                </c:pt>
                <c:pt idx="7">
                  <c:v>62.8</c:v>
                </c:pt>
                <c:pt idx="8">
                  <c:v>63.7</c:v>
                </c:pt>
                <c:pt idx="9">
                  <c:v>64.5</c:v>
                </c:pt>
                <c:pt idx="10">
                  <c:v>66.2</c:v>
                </c:pt>
                <c:pt idx="11">
                  <c:v>67.3</c:v>
                </c:pt>
                <c:pt idx="12">
                  <c:v>68.3</c:v>
                </c:pt>
                <c:pt idx="13">
                  <c:v>68.400000000000006</c:v>
                </c:pt>
                <c:pt idx="14">
                  <c:v>69.3</c:v>
                </c:pt>
                <c:pt idx="15">
                  <c:v>69.5</c:v>
                </c:pt>
                <c:pt idx="16">
                  <c:v>72.5</c:v>
                </c:pt>
                <c:pt idx="17">
                  <c:v>73</c:v>
                </c:pt>
                <c:pt idx="18">
                  <c:v>75.3</c:v>
                </c:pt>
                <c:pt idx="19">
                  <c:v>77.2</c:v>
                </c:pt>
              </c:numCache>
            </c:numRef>
          </c:xVal>
          <c:yVal>
            <c:numRef>
              <c:f>Example!$B$4:$B$23</c:f>
              <c:numCache>
                <c:formatCode>0.0</c:formatCode>
                <c:ptCount val="20"/>
                <c:pt idx="0">
                  <c:v>28.5</c:v>
                </c:pt>
                <c:pt idx="1">
                  <c:v>48.7</c:v>
                </c:pt>
                <c:pt idx="2">
                  <c:v>41.5</c:v>
                </c:pt>
                <c:pt idx="3">
                  <c:v>55.5</c:v>
                </c:pt>
                <c:pt idx="4">
                  <c:v>58.4</c:v>
                </c:pt>
                <c:pt idx="5">
                  <c:v>56.3</c:v>
                </c:pt>
                <c:pt idx="6">
                  <c:v>61.6</c:v>
                </c:pt>
                <c:pt idx="7">
                  <c:v>59.1</c:v>
                </c:pt>
                <c:pt idx="8">
                  <c:v>59.1</c:v>
                </c:pt>
                <c:pt idx="9">
                  <c:v>64.599999999999994</c:v>
                </c:pt>
                <c:pt idx="10">
                  <c:v>63.9</c:v>
                </c:pt>
                <c:pt idx="11">
                  <c:v>66.099999999999994</c:v>
                </c:pt>
                <c:pt idx="12">
                  <c:v>66.599999999999994</c:v>
                </c:pt>
                <c:pt idx="13">
                  <c:v>69.2</c:v>
                </c:pt>
                <c:pt idx="14">
                  <c:v>64.7</c:v>
                </c:pt>
                <c:pt idx="15">
                  <c:v>67</c:v>
                </c:pt>
                <c:pt idx="16">
                  <c:v>75.3</c:v>
                </c:pt>
                <c:pt idx="17">
                  <c:v>65.900000000000006</c:v>
                </c:pt>
                <c:pt idx="18">
                  <c:v>78.8</c:v>
                </c:pt>
                <c:pt idx="19">
                  <c:v>75.7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C2-4449-8180-9072FC35A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86408"/>
        <c:axId val="734984840"/>
      </c:scatterChart>
      <c:valAx>
        <c:axId val="734986408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984840"/>
        <c:crosses val="autoZero"/>
        <c:crossBetween val="midCat"/>
      </c:valAx>
      <c:valAx>
        <c:axId val="73498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986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Bland-Altman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diff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Example!$E$4:$E$23</c:f>
              <c:numCache>
                <c:formatCode>General</c:formatCode>
                <c:ptCount val="20"/>
                <c:pt idx="0">
                  <c:v>33.65</c:v>
                </c:pt>
                <c:pt idx="1">
                  <c:v>46.2</c:v>
                </c:pt>
                <c:pt idx="2">
                  <c:v>43.65</c:v>
                </c:pt>
                <c:pt idx="3">
                  <c:v>52.9</c:v>
                </c:pt>
                <c:pt idx="4">
                  <c:v>57.45</c:v>
                </c:pt>
                <c:pt idx="5">
                  <c:v>58.9</c:v>
                </c:pt>
                <c:pt idx="6">
                  <c:v>61.900000000000006</c:v>
                </c:pt>
                <c:pt idx="7">
                  <c:v>60.95</c:v>
                </c:pt>
                <c:pt idx="8">
                  <c:v>61.400000000000006</c:v>
                </c:pt>
                <c:pt idx="9">
                  <c:v>64.55</c:v>
                </c:pt>
                <c:pt idx="10">
                  <c:v>65.05</c:v>
                </c:pt>
                <c:pt idx="11">
                  <c:v>66.699999999999989</c:v>
                </c:pt>
                <c:pt idx="12">
                  <c:v>67.449999999999989</c:v>
                </c:pt>
                <c:pt idx="13">
                  <c:v>68.800000000000011</c:v>
                </c:pt>
                <c:pt idx="14">
                  <c:v>67</c:v>
                </c:pt>
                <c:pt idx="15">
                  <c:v>68.25</c:v>
                </c:pt>
                <c:pt idx="16">
                  <c:v>73.900000000000006</c:v>
                </c:pt>
                <c:pt idx="17">
                  <c:v>69.45</c:v>
                </c:pt>
                <c:pt idx="18">
                  <c:v>77.05</c:v>
                </c:pt>
                <c:pt idx="19">
                  <c:v>76.45</c:v>
                </c:pt>
              </c:numCache>
            </c:numRef>
          </c:xVal>
          <c:yVal>
            <c:numRef>
              <c:f>Example!$F$4:$F$23</c:f>
              <c:numCache>
                <c:formatCode>General</c:formatCode>
                <c:ptCount val="20"/>
                <c:pt idx="0">
                  <c:v>10.299999999999997</c:v>
                </c:pt>
                <c:pt idx="1">
                  <c:v>-5</c:v>
                </c:pt>
                <c:pt idx="2">
                  <c:v>4.2999999999999972</c:v>
                </c:pt>
                <c:pt idx="3">
                  <c:v>-5.2000000000000028</c:v>
                </c:pt>
                <c:pt idx="4">
                  <c:v>-1.8999999999999986</c:v>
                </c:pt>
                <c:pt idx="5">
                  <c:v>5.2000000000000028</c:v>
                </c:pt>
                <c:pt idx="6">
                  <c:v>0.60000000000000142</c:v>
                </c:pt>
                <c:pt idx="7">
                  <c:v>3.6999999999999957</c:v>
                </c:pt>
                <c:pt idx="8">
                  <c:v>4.6000000000000014</c:v>
                </c:pt>
                <c:pt idx="9">
                  <c:v>-9.9999999999994316E-2</c:v>
                </c:pt>
                <c:pt idx="10">
                  <c:v>2.3000000000000043</c:v>
                </c:pt>
                <c:pt idx="11">
                  <c:v>1.2000000000000028</c:v>
                </c:pt>
                <c:pt idx="12">
                  <c:v>1.7000000000000028</c:v>
                </c:pt>
                <c:pt idx="13">
                  <c:v>-0.79999999999999716</c:v>
                </c:pt>
                <c:pt idx="14">
                  <c:v>4.5999999999999943</c:v>
                </c:pt>
                <c:pt idx="15">
                  <c:v>2.5</c:v>
                </c:pt>
                <c:pt idx="16">
                  <c:v>-2.7999999999999972</c:v>
                </c:pt>
                <c:pt idx="17">
                  <c:v>7.0999999999999943</c:v>
                </c:pt>
                <c:pt idx="18">
                  <c:v>-3.5</c:v>
                </c:pt>
                <c:pt idx="19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3-45C6-9E46-239075279C5C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Example!$V$2:$V$3</c:f>
              <c:numCache>
                <c:formatCode>General</c:formatCode>
                <c:ptCount val="2"/>
                <c:pt idx="0">
                  <c:v>30</c:v>
                </c:pt>
                <c:pt idx="1">
                  <c:v>80</c:v>
                </c:pt>
              </c:numCache>
            </c:numRef>
          </c:xVal>
          <c:yVal>
            <c:numRef>
              <c:f>Example!$W$2:$W$3</c:f>
              <c:numCache>
                <c:formatCode>General</c:formatCode>
                <c:ptCount val="2"/>
                <c:pt idx="0">
                  <c:v>1.5150000000000001</c:v>
                </c:pt>
                <c:pt idx="1">
                  <c:v>1.5150000000000001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3-45C6-9E46-239075279C5C}"/>
            </c:ext>
          </c:extLst>
        </c:ser>
        <c:ser>
          <c:idx val="2"/>
          <c:order val="2"/>
          <c:tx>
            <c:v>lower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Example!$V$2:$V$3</c:f>
              <c:numCache>
                <c:formatCode>General</c:formatCode>
                <c:ptCount val="2"/>
                <c:pt idx="0">
                  <c:v>30</c:v>
                </c:pt>
                <c:pt idx="1">
                  <c:v>80</c:v>
                </c:pt>
              </c:numCache>
            </c:numRef>
          </c:xVal>
          <c:yVal>
            <c:numRef>
              <c:f>Example!$X$2:$X$3</c:f>
              <c:numCache>
                <c:formatCode>General</c:formatCode>
                <c:ptCount val="2"/>
                <c:pt idx="0">
                  <c:v>-6.3635150416767488</c:v>
                </c:pt>
                <c:pt idx="1">
                  <c:v>-6.3635150416767488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33-45C6-9E46-239075279C5C}"/>
            </c:ext>
          </c:extLst>
        </c:ser>
        <c:ser>
          <c:idx val="3"/>
          <c:order val="3"/>
          <c:tx>
            <c:v>upper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Example!$V$2:$V$3</c:f>
              <c:numCache>
                <c:formatCode>General</c:formatCode>
                <c:ptCount val="2"/>
                <c:pt idx="0">
                  <c:v>30</c:v>
                </c:pt>
                <c:pt idx="1">
                  <c:v>80</c:v>
                </c:pt>
              </c:numCache>
            </c:numRef>
          </c:xVal>
          <c:yVal>
            <c:numRef>
              <c:f>Example!$Y$2:$Y$3</c:f>
              <c:numCache>
                <c:formatCode>General</c:formatCode>
                <c:ptCount val="2"/>
                <c:pt idx="0">
                  <c:v>9.3935150416767499</c:v>
                </c:pt>
                <c:pt idx="1">
                  <c:v>9.3935150416767499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33-45C6-9E46-239075279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85232"/>
        <c:axId val="734985624"/>
      </c:scatterChart>
      <c:valAx>
        <c:axId val="734985232"/>
        <c:scaling>
          <c:orientation val="minMax"/>
          <c:max val="8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985624"/>
        <c:crosses val="autoZero"/>
        <c:crossBetween val="midCat"/>
      </c:valAx>
      <c:valAx>
        <c:axId val="7349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985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Adjusted 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Example!$AM$4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Example!$AN$3</c:f>
              <c:strCache>
                <c:ptCount val="1"/>
                <c:pt idx="0">
                  <c:v>Y</c:v>
                </c:pt>
              </c:strCache>
            </c:strRef>
          </c:cat>
          <c:val>
            <c:numRef>
              <c:f>Example!$AN$4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D-467B-98E4-76C1F1169AA4}"/>
            </c:ext>
          </c:extLst>
        </c:ser>
        <c:ser>
          <c:idx val="1"/>
          <c:order val="1"/>
          <c:tx>
            <c:strRef>
              <c:f>Example!$AM$5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Example!$AN$3</c:f>
              <c:strCache>
                <c:ptCount val="1"/>
                <c:pt idx="0">
                  <c:v>Y</c:v>
                </c:pt>
              </c:strCache>
            </c:strRef>
          </c:cat>
          <c:val>
            <c:numRef>
              <c:f>Example!$AN$5</c:f>
              <c:numCache>
                <c:formatCode>General</c:formatCode>
                <c:ptCount val="1"/>
                <c:pt idx="0">
                  <c:v>4.1250000000000053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D-467B-98E4-76C1F1169AA4}"/>
            </c:ext>
          </c:extLst>
        </c:ser>
        <c:ser>
          <c:idx val="2"/>
          <c:order val="2"/>
          <c:tx>
            <c:strRef>
              <c:f>Example!$AM$6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Example!$AN$3</c:f>
              <c:strCache>
                <c:ptCount val="1"/>
                <c:pt idx="0">
                  <c:v>Y</c:v>
                </c:pt>
              </c:strCache>
            </c:strRef>
          </c:cat>
          <c:val>
            <c:numRef>
              <c:f>Example!$AN$6</c:f>
              <c:numCache>
                <c:formatCode>General</c:formatCode>
                <c:ptCount val="1"/>
                <c:pt idx="0">
                  <c:v>2.6749999999999989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ED-467B-98E4-76C1F1169AA4}"/>
            </c:ext>
          </c:extLst>
        </c:ser>
        <c:ser>
          <c:idx val="3"/>
          <c:order val="3"/>
          <c:tx>
            <c:strRef>
              <c:f>Example!$AM$7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Example!$AN$8</c:f>
                <c:numCache>
                  <c:formatCode>General</c:formatCode>
                  <c:ptCount val="1"/>
                  <c:pt idx="0">
                    <c:v>5.9250000000000007</c:v>
                  </c:pt>
                </c:numCache>
              </c:numRef>
            </c:plus>
          </c:errBars>
          <c:cat>
            <c:strRef>
              <c:f>Example!$AN$3</c:f>
              <c:strCache>
                <c:ptCount val="1"/>
                <c:pt idx="0">
                  <c:v>Y</c:v>
                </c:pt>
              </c:strCache>
            </c:strRef>
          </c:cat>
          <c:val>
            <c:numRef>
              <c:f>Example!$AN$7</c:f>
              <c:numCache>
                <c:formatCode>General</c:formatCode>
                <c:ptCount val="1"/>
                <c:pt idx="0">
                  <c:v>2.774999999999995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ED-467B-98E4-76C1F116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983272"/>
        <c:axId val="734982880"/>
      </c:barChart>
      <c:catAx>
        <c:axId val="73498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4982880"/>
        <c:crosses val="autoZero"/>
        <c:auto val="1"/>
        <c:lblAlgn val="ctr"/>
        <c:lblOffset val="100"/>
        <c:noMultiLvlLbl val="0"/>
      </c:catAx>
      <c:valAx>
        <c:axId val="73498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983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Example!$AQ$10:$AQ$29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Example!$AR$10:$AR$29</c:f>
              <c:numCache>
                <c:formatCode>General</c:formatCode>
                <c:ptCount val="20"/>
                <c:pt idx="0">
                  <c:v>-1.9599639845400538</c:v>
                </c:pt>
                <c:pt idx="1">
                  <c:v>-1.4395314709384572</c:v>
                </c:pt>
                <c:pt idx="2">
                  <c:v>-1.1503493803760083</c:v>
                </c:pt>
                <c:pt idx="3">
                  <c:v>-0.93458929107347943</c:v>
                </c:pt>
                <c:pt idx="4">
                  <c:v>-0.75541502636046909</c:v>
                </c:pt>
                <c:pt idx="5">
                  <c:v>-0.59776012604247841</c:v>
                </c:pt>
                <c:pt idx="6">
                  <c:v>-0.45376219016987951</c:v>
                </c:pt>
                <c:pt idx="7">
                  <c:v>-0.3186393639643752</c:v>
                </c:pt>
                <c:pt idx="8">
                  <c:v>-0.18911842627279254</c:v>
                </c:pt>
                <c:pt idx="9">
                  <c:v>-6.2706777943213846E-2</c:v>
                </c:pt>
                <c:pt idx="10">
                  <c:v>6.2706777943213846E-2</c:v>
                </c:pt>
                <c:pt idx="11">
                  <c:v>0.18911842627279243</c:v>
                </c:pt>
                <c:pt idx="12">
                  <c:v>0.3186393639643752</c:v>
                </c:pt>
                <c:pt idx="13">
                  <c:v>0.45376219016987968</c:v>
                </c:pt>
                <c:pt idx="14">
                  <c:v>0.59776012604247841</c:v>
                </c:pt>
                <c:pt idx="15">
                  <c:v>0.75541502636046909</c:v>
                </c:pt>
                <c:pt idx="16">
                  <c:v>0.9345892910734801</c:v>
                </c:pt>
                <c:pt idx="17">
                  <c:v>1.1503493803760083</c:v>
                </c:pt>
                <c:pt idx="18">
                  <c:v>1.4395314709384563</c:v>
                </c:pt>
                <c:pt idx="19">
                  <c:v>1.9599639845400536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FA-4DB2-9C27-ECA725812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80528"/>
        <c:axId val="752605272"/>
      </c:scatterChart>
      <c:valAx>
        <c:axId val="73498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2605272"/>
        <c:crosses val="autoZero"/>
        <c:crossBetween val="midCat"/>
      </c:valAx>
      <c:valAx>
        <c:axId val="752605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4980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Bland-Altman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diff</c:v>
          </c:tx>
          <c:spPr>
            <a:ln w="28575">
              <a:noFill/>
            </a:ln>
          </c:spPr>
          <c:xVal>
            <c:numLit>
              <c:formatCode>General</c:formatCode>
              <c:ptCount val="20"/>
              <c:pt idx="0">
                <c:v>33.65</c:v>
              </c:pt>
              <c:pt idx="1">
                <c:v>46.2</c:v>
              </c:pt>
              <c:pt idx="2">
                <c:v>43.65</c:v>
              </c:pt>
              <c:pt idx="3">
                <c:v>52.9</c:v>
              </c:pt>
              <c:pt idx="4">
                <c:v>57.45</c:v>
              </c:pt>
              <c:pt idx="5">
                <c:v>58.9</c:v>
              </c:pt>
              <c:pt idx="6">
                <c:v>61.900000000000006</c:v>
              </c:pt>
              <c:pt idx="7">
                <c:v>60.95</c:v>
              </c:pt>
              <c:pt idx="8">
                <c:v>61.400000000000006</c:v>
              </c:pt>
              <c:pt idx="9">
                <c:v>64.55</c:v>
              </c:pt>
              <c:pt idx="10">
                <c:v>65.05</c:v>
              </c:pt>
              <c:pt idx="11">
                <c:v>66.699999999999989</c:v>
              </c:pt>
              <c:pt idx="12">
                <c:v>67.449999999999989</c:v>
              </c:pt>
              <c:pt idx="13">
                <c:v>68.800000000000011</c:v>
              </c:pt>
              <c:pt idx="14">
                <c:v>67</c:v>
              </c:pt>
              <c:pt idx="15">
                <c:v>68.25</c:v>
              </c:pt>
              <c:pt idx="16">
                <c:v>73.900000000000006</c:v>
              </c:pt>
              <c:pt idx="17">
                <c:v>69.45</c:v>
              </c:pt>
              <c:pt idx="18">
                <c:v>77.05</c:v>
              </c:pt>
              <c:pt idx="19">
                <c:v>76.45</c:v>
              </c:pt>
            </c:numLit>
          </c:xVal>
          <c:yVal>
            <c:numLit>
              <c:formatCode>General</c:formatCode>
              <c:ptCount val="20"/>
              <c:pt idx="0">
                <c:v>10.299999999999997</c:v>
              </c:pt>
              <c:pt idx="1">
                <c:v>-5</c:v>
              </c:pt>
              <c:pt idx="2">
                <c:v>4.2999999999999972</c:v>
              </c:pt>
              <c:pt idx="3">
                <c:v>-5.2000000000000028</c:v>
              </c:pt>
              <c:pt idx="4">
                <c:v>-1.8999999999999986</c:v>
              </c:pt>
              <c:pt idx="5">
                <c:v>5.2000000000000028</c:v>
              </c:pt>
              <c:pt idx="6">
                <c:v>0.60000000000000142</c:v>
              </c:pt>
              <c:pt idx="7">
                <c:v>3.6999999999999957</c:v>
              </c:pt>
              <c:pt idx="8">
                <c:v>4.6000000000000014</c:v>
              </c:pt>
              <c:pt idx="9">
                <c:v>-9.9999999999994316E-2</c:v>
              </c:pt>
              <c:pt idx="10">
                <c:v>2.3000000000000043</c:v>
              </c:pt>
              <c:pt idx="11">
                <c:v>1.2000000000000028</c:v>
              </c:pt>
              <c:pt idx="12">
                <c:v>1.7000000000000028</c:v>
              </c:pt>
              <c:pt idx="13">
                <c:v>-0.79999999999999716</c:v>
              </c:pt>
              <c:pt idx="14">
                <c:v>4.5999999999999943</c:v>
              </c:pt>
              <c:pt idx="15">
                <c:v>2.5</c:v>
              </c:pt>
              <c:pt idx="16">
                <c:v>-2.7999999999999972</c:v>
              </c:pt>
              <c:pt idx="17">
                <c:v>7.0999999999999943</c:v>
              </c:pt>
              <c:pt idx="18">
                <c:v>-3.5</c:v>
              </c:pt>
              <c:pt idx="19">
                <c:v>1.5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76C-4D46-93FD-8DE1EF0CBB50}"/>
            </c:ext>
          </c:extLst>
        </c:ser>
        <c:ser>
          <c:idx val="1"/>
          <c:order val="1"/>
          <c:tx>
            <c:v>mean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Lit>
              <c:formatCode>General</c:formatCode>
              <c:ptCount val="2"/>
              <c:pt idx="0">
                <c:v>1.5150000000000001</c:v>
              </c:pt>
              <c:pt idx="1">
                <c:v>1.5150000000000001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76C-4D46-93FD-8DE1EF0CBB50}"/>
            </c:ext>
          </c:extLst>
        </c:ser>
        <c:ser>
          <c:idx val="2"/>
          <c:order val="2"/>
          <c:tx>
            <c:v>lower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Lit>
              <c:formatCode>General</c:formatCode>
              <c:ptCount val="2"/>
              <c:pt idx="0">
                <c:v>-6.3635150416767488</c:v>
              </c:pt>
              <c:pt idx="1">
                <c:v>-6.3635150416767488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876C-4D46-93FD-8DE1EF0CBB50}"/>
            </c:ext>
          </c:extLst>
        </c:ser>
        <c:ser>
          <c:idx val="3"/>
          <c:order val="3"/>
          <c:tx>
            <c:v>upper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Lit>
              <c:formatCode>General</c:formatCode>
              <c:ptCount val="2"/>
              <c:pt idx="0">
                <c:v>9.3935150416767499</c:v>
              </c:pt>
              <c:pt idx="1">
                <c:v>9.3935150416767499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76C-4D46-93FD-8DE1EF0C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602920"/>
        <c:axId val="752598608"/>
      </c:scatterChart>
      <c:valAx>
        <c:axId val="75260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means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2598608"/>
        <c:crosses val="autoZero"/>
        <c:crossBetween val="midCat"/>
      </c:valAx>
      <c:valAx>
        <c:axId val="752598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differences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2602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128587</xdr:rowOff>
    </xdr:from>
    <xdr:to>
      <xdr:col>2</xdr:col>
      <xdr:colOff>4667250</xdr:colOff>
      <xdr:row>17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01BA7-5947-40F8-99E7-72462DB4D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3</xdr:row>
      <xdr:rowOff>119062</xdr:rowOff>
    </xdr:from>
    <xdr:to>
      <xdr:col>13</xdr:col>
      <xdr:colOff>485775</xdr:colOff>
      <xdr:row>17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797A7A-C1A1-4172-A625-953FDAB90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200025</xdr:colOff>
      <xdr:row>14</xdr:row>
      <xdr:rowOff>128587</xdr:rowOff>
    </xdr:from>
    <xdr:to>
      <xdr:col>55</xdr:col>
      <xdr:colOff>504825</xdr:colOff>
      <xdr:row>28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7D114D-8F9E-45CD-BA51-81AA1EF43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209550</xdr:colOff>
      <xdr:row>0</xdr:row>
      <xdr:rowOff>42862</xdr:rowOff>
    </xdr:from>
    <xdr:to>
      <xdr:col>55</xdr:col>
      <xdr:colOff>514350</xdr:colOff>
      <xdr:row>14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011E60-2682-4631-90E8-1EA9A8819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23812</xdr:rowOff>
    </xdr:from>
    <xdr:to>
      <xdr:col>15</xdr:col>
      <xdr:colOff>495300</xdr:colOff>
      <xdr:row>16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97BB95-F8FC-4484-8AFA-66DCEFEA3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2">
          <cell r="V2">
            <v>30</v>
          </cell>
          <cell r="W2">
            <v>1.5150000000000001</v>
          </cell>
          <cell r="X2">
            <v>-6.3635150416767488</v>
          </cell>
          <cell r="Y2">
            <v>9.3935150416767499</v>
          </cell>
        </row>
        <row r="3">
          <cell r="B3" t="str">
            <v>New</v>
          </cell>
          <cell r="V3">
            <v>80</v>
          </cell>
          <cell r="W3">
            <v>1.5150000000000001</v>
          </cell>
          <cell r="X3">
            <v>-6.3635150416767488</v>
          </cell>
          <cell r="Y3">
            <v>9.3935150416767499</v>
          </cell>
          <cell r="AN3" t="str">
            <v>Y</v>
          </cell>
        </row>
        <row r="4">
          <cell r="A4">
            <v>38.799999999999997</v>
          </cell>
          <cell r="B4">
            <v>28.5</v>
          </cell>
          <cell r="E4">
            <v>33.65</v>
          </cell>
          <cell r="F4">
            <v>10.299999999999997</v>
          </cell>
          <cell r="AM4" t="str">
            <v>Min</v>
          </cell>
          <cell r="AN4">
            <v>0</v>
          </cell>
        </row>
        <row r="5">
          <cell r="A5">
            <v>43.7</v>
          </cell>
          <cell r="B5">
            <v>48.7</v>
          </cell>
          <cell r="E5">
            <v>46.2</v>
          </cell>
          <cell r="F5">
            <v>-5</v>
          </cell>
          <cell r="AM5" t="str">
            <v>Q1-Min</v>
          </cell>
          <cell r="AN5">
            <v>4.1250000000000053</v>
          </cell>
        </row>
        <row r="6">
          <cell r="A6">
            <v>45.8</v>
          </cell>
          <cell r="B6">
            <v>41.5</v>
          </cell>
          <cell r="E6">
            <v>43.65</v>
          </cell>
          <cell r="F6">
            <v>4.2999999999999972</v>
          </cell>
          <cell r="AM6" t="str">
            <v>Med-Q1</v>
          </cell>
          <cell r="AN6">
            <v>2.6749999999999989</v>
          </cell>
        </row>
        <row r="7">
          <cell r="A7">
            <v>50.3</v>
          </cell>
          <cell r="B7">
            <v>55.5</v>
          </cell>
          <cell r="E7">
            <v>52.9</v>
          </cell>
          <cell r="F7">
            <v>-5.2000000000000028</v>
          </cell>
          <cell r="AM7" t="str">
            <v>Q3-Med</v>
          </cell>
          <cell r="AN7">
            <v>2.774999999999995</v>
          </cell>
        </row>
        <row r="8">
          <cell r="A8">
            <v>56.5</v>
          </cell>
          <cell r="B8">
            <v>58.4</v>
          </cell>
          <cell r="E8">
            <v>57.45</v>
          </cell>
          <cell r="F8">
            <v>-1.8999999999999986</v>
          </cell>
          <cell r="AN8">
            <v>5.9250000000000007</v>
          </cell>
        </row>
        <row r="9">
          <cell r="A9">
            <v>61.5</v>
          </cell>
          <cell r="B9">
            <v>56.3</v>
          </cell>
          <cell r="E9">
            <v>58.9</v>
          </cell>
          <cell r="F9">
            <v>5.2000000000000028</v>
          </cell>
        </row>
        <row r="10">
          <cell r="A10">
            <v>62.2</v>
          </cell>
          <cell r="B10">
            <v>61.6</v>
          </cell>
          <cell r="E10">
            <v>61.900000000000006</v>
          </cell>
          <cell r="F10">
            <v>0.60000000000000142</v>
          </cell>
          <cell r="AQ10">
            <v>-5.2000000000000028</v>
          </cell>
          <cell r="AR10">
            <v>-1.9599639845400538</v>
          </cell>
        </row>
        <row r="11">
          <cell r="A11">
            <v>62.8</v>
          </cell>
          <cell r="B11">
            <v>59.1</v>
          </cell>
          <cell r="E11">
            <v>60.95</v>
          </cell>
          <cell r="F11">
            <v>3.6999999999999957</v>
          </cell>
          <cell r="AQ11">
            <v>-5</v>
          </cell>
          <cell r="AR11">
            <v>-1.4395314709384572</v>
          </cell>
        </row>
        <row r="12">
          <cell r="A12">
            <v>63.7</v>
          </cell>
          <cell r="B12">
            <v>59.1</v>
          </cell>
          <cell r="E12">
            <v>61.400000000000006</v>
          </cell>
          <cell r="F12">
            <v>4.6000000000000014</v>
          </cell>
          <cell r="AQ12">
            <v>-3.5</v>
          </cell>
          <cell r="AR12">
            <v>-1.1503493803760083</v>
          </cell>
        </row>
        <row r="13">
          <cell r="A13">
            <v>64.5</v>
          </cell>
          <cell r="B13">
            <v>64.599999999999994</v>
          </cell>
          <cell r="E13">
            <v>64.55</v>
          </cell>
          <cell r="F13">
            <v>-9.9999999999994316E-2</v>
          </cell>
          <cell r="AQ13">
            <v>-2.7999999999999972</v>
          </cell>
          <cell r="AR13">
            <v>-0.93458929107347943</v>
          </cell>
        </row>
        <row r="14">
          <cell r="A14">
            <v>66.2</v>
          </cell>
          <cell r="B14">
            <v>63.9</v>
          </cell>
          <cell r="E14">
            <v>65.05</v>
          </cell>
          <cell r="F14">
            <v>2.3000000000000043</v>
          </cell>
          <cell r="AQ14">
            <v>-1.8999999999999986</v>
          </cell>
          <cell r="AR14">
            <v>-0.75541502636046909</v>
          </cell>
        </row>
        <row r="15">
          <cell r="A15">
            <v>67.3</v>
          </cell>
          <cell r="B15">
            <v>66.099999999999994</v>
          </cell>
          <cell r="E15">
            <v>66.699999999999989</v>
          </cell>
          <cell r="F15">
            <v>1.2000000000000028</v>
          </cell>
          <cell r="AQ15">
            <v>-0.79999999999999716</v>
          </cell>
          <cell r="AR15">
            <v>-0.59776012604247841</v>
          </cell>
        </row>
        <row r="16">
          <cell r="A16">
            <v>68.3</v>
          </cell>
          <cell r="B16">
            <v>66.599999999999994</v>
          </cell>
          <cell r="E16">
            <v>67.449999999999989</v>
          </cell>
          <cell r="F16">
            <v>1.7000000000000028</v>
          </cell>
          <cell r="AQ16">
            <v>-9.9999999999994316E-2</v>
          </cell>
          <cell r="AR16">
            <v>-0.45376219016987951</v>
          </cell>
        </row>
        <row r="17">
          <cell r="A17">
            <v>68.400000000000006</v>
          </cell>
          <cell r="B17">
            <v>69.2</v>
          </cell>
          <cell r="E17">
            <v>68.800000000000011</v>
          </cell>
          <cell r="F17">
            <v>-0.79999999999999716</v>
          </cell>
          <cell r="AQ17">
            <v>0.60000000000000142</v>
          </cell>
          <cell r="AR17">
            <v>-0.3186393639643752</v>
          </cell>
        </row>
        <row r="18">
          <cell r="A18">
            <v>69.3</v>
          </cell>
          <cell r="B18">
            <v>64.7</v>
          </cell>
          <cell r="E18">
            <v>67</v>
          </cell>
          <cell r="F18">
            <v>4.5999999999999943</v>
          </cell>
          <cell r="AQ18">
            <v>1.2000000000000028</v>
          </cell>
          <cell r="AR18">
            <v>-0.18911842627279254</v>
          </cell>
        </row>
        <row r="19">
          <cell r="A19">
            <v>69.5</v>
          </cell>
          <cell r="B19">
            <v>67</v>
          </cell>
          <cell r="E19">
            <v>68.25</v>
          </cell>
          <cell r="F19">
            <v>2.5</v>
          </cell>
          <cell r="AQ19">
            <v>1.5</v>
          </cell>
          <cell r="AR19">
            <v>-6.2706777943213846E-2</v>
          </cell>
        </row>
        <row r="20">
          <cell r="A20">
            <v>72.5</v>
          </cell>
          <cell r="B20">
            <v>75.3</v>
          </cell>
          <cell r="E20">
            <v>73.900000000000006</v>
          </cell>
          <cell r="F20">
            <v>-2.7999999999999972</v>
          </cell>
          <cell r="AQ20">
            <v>1.7000000000000028</v>
          </cell>
          <cell r="AR20">
            <v>6.2706777943213846E-2</v>
          </cell>
        </row>
        <row r="21">
          <cell r="A21">
            <v>73</v>
          </cell>
          <cell r="B21">
            <v>65.900000000000006</v>
          </cell>
          <cell r="E21">
            <v>69.45</v>
          </cell>
          <cell r="F21">
            <v>7.0999999999999943</v>
          </cell>
          <cell r="AQ21">
            <v>2.3000000000000043</v>
          </cell>
          <cell r="AR21">
            <v>0.18911842627279243</v>
          </cell>
        </row>
        <row r="22">
          <cell r="A22">
            <v>75.3</v>
          </cell>
          <cell r="B22">
            <v>78.8</v>
          </cell>
          <cell r="E22">
            <v>77.05</v>
          </cell>
          <cell r="F22">
            <v>-3.5</v>
          </cell>
          <cell r="AQ22">
            <v>2.5</v>
          </cell>
          <cell r="AR22">
            <v>0.3186393639643752</v>
          </cell>
        </row>
        <row r="23">
          <cell r="A23">
            <v>77.2</v>
          </cell>
          <cell r="B23">
            <v>75.7</v>
          </cell>
          <cell r="E23">
            <v>76.45</v>
          </cell>
          <cell r="F23">
            <v>1.5</v>
          </cell>
          <cell r="AQ23">
            <v>3.6999999999999957</v>
          </cell>
          <cell r="AR23">
            <v>0.45376219016987968</v>
          </cell>
        </row>
        <row r="24">
          <cell r="AQ24">
            <v>4.2999999999999972</v>
          </cell>
          <cell r="AR24">
            <v>0.59776012604247841</v>
          </cell>
        </row>
        <row r="25">
          <cell r="AQ25">
            <v>4.5999999999999943</v>
          </cell>
          <cell r="AR25">
            <v>0.75541502636046909</v>
          </cell>
        </row>
        <row r="26">
          <cell r="AQ26">
            <v>4.6000000000000014</v>
          </cell>
          <cell r="AR26">
            <v>0.9345892910734801</v>
          </cell>
        </row>
        <row r="27">
          <cell r="AQ27">
            <v>5.2000000000000028</v>
          </cell>
          <cell r="AR27">
            <v>1.1503493803760083</v>
          </cell>
        </row>
        <row r="28">
          <cell r="AQ28">
            <v>7.0999999999999943</v>
          </cell>
          <cell r="AR28">
            <v>1.4395314709384563</v>
          </cell>
        </row>
        <row r="29">
          <cell r="AQ29">
            <v>10.299999999999997</v>
          </cell>
          <cell r="AR29">
            <v>1.9599639845400536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DEsign"/>
      <definedName name="FTEXT"/>
      <definedName name="IQR"/>
      <definedName name="MAD"/>
      <definedName name="QSORT"/>
      <definedName name="RegCoeff"/>
      <definedName name="SHAPIRO"/>
      <definedName name="SWTEST"/>
      <definedName name="VI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0EAC-BFE7-455F-B032-31D2F977E376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87</v>
      </c>
    </row>
    <row r="2" spans="1:2" x14ac:dyDescent="0.35">
      <c r="A2" t="s">
        <v>0</v>
      </c>
    </row>
    <row r="4" spans="1:2" x14ac:dyDescent="0.35">
      <c r="A4" t="s">
        <v>88</v>
      </c>
      <c r="B4" s="43">
        <v>44757</v>
      </c>
    </row>
    <row r="6" spans="1:2" x14ac:dyDescent="0.35">
      <c r="A6" s="2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22CD-8848-4244-9F1D-54B714729E2C}">
  <sheetPr codeName="Sheet29"/>
  <dimension ref="A1:AV29"/>
  <sheetViews>
    <sheetView workbookViewId="0"/>
  </sheetViews>
  <sheetFormatPr defaultColWidth="9.1796875" defaultRowHeight="14.5" x14ac:dyDescent="0.35"/>
  <cols>
    <col min="1" max="2" width="5.81640625" style="2" customWidth="1"/>
    <col min="3" max="3" width="71.7265625" style="2" customWidth="1"/>
    <col min="4" max="4" width="9.1796875" style="2"/>
    <col min="5" max="5" width="6.453125" style="2" customWidth="1"/>
    <col min="6" max="6" width="5.7265625" style="2" customWidth="1"/>
    <col min="7" max="7" width="9.1796875" style="2" customWidth="1"/>
    <col min="8" max="15" width="9.1796875" style="2"/>
    <col min="16" max="16" width="8.26953125" style="2" customWidth="1"/>
    <col min="17" max="17" width="9.1796875" style="2"/>
    <col min="18" max="18" width="3.1796875" style="2" customWidth="1"/>
    <col min="19" max="19" width="27.7265625" style="2" customWidth="1"/>
    <col min="20" max="20" width="3.1796875" style="2" customWidth="1"/>
    <col min="21" max="21" width="7.26953125" style="2" customWidth="1"/>
    <col min="22" max="26" width="9.1796875" style="2"/>
    <col min="27" max="27" width="17" style="2" customWidth="1"/>
    <col min="28" max="35" width="9.1796875" style="2"/>
    <col min="36" max="36" width="18.453125" style="2" customWidth="1"/>
    <col min="37" max="45" width="9.1796875" style="2"/>
    <col min="46" max="46" width="3" style="2" customWidth="1"/>
    <col min="47" max="16384" width="9.1796875" style="2"/>
  </cols>
  <sheetData>
    <row r="1" spans="1:48" x14ac:dyDescent="0.35">
      <c r="A1" s="1" t="s">
        <v>0</v>
      </c>
      <c r="V1" s="3" t="s">
        <v>1</v>
      </c>
      <c r="W1" s="3" t="s">
        <v>2</v>
      </c>
      <c r="X1" s="3" t="s">
        <v>3</v>
      </c>
      <c r="Y1" s="3" t="s">
        <v>4</v>
      </c>
      <c r="AJ1" s="2" t="s">
        <v>5</v>
      </c>
      <c r="AM1" s="2" t="s">
        <v>6</v>
      </c>
      <c r="AP1" s="2" t="s">
        <v>7</v>
      </c>
      <c r="AU1" s="2" t="s">
        <v>8</v>
      </c>
    </row>
    <row r="2" spans="1:48" x14ac:dyDescent="0.35">
      <c r="P2" s="2" t="s">
        <v>9</v>
      </c>
      <c r="Q2" s="4">
        <f>CORREL(A4:A23,B4:B23)</f>
        <v>0.9397227006110801</v>
      </c>
      <c r="S2" s="2" t="e">
        <f ca="1">[2]!FTEXT(Q2)</f>
        <v>#NAME?</v>
      </c>
      <c r="U2" s="2" t="s">
        <v>10</v>
      </c>
      <c r="V2" s="5">
        <v>30</v>
      </c>
      <c r="W2" s="6">
        <f>V6</f>
        <v>1.5150000000000001</v>
      </c>
      <c r="X2" s="6">
        <f>V7</f>
        <v>-6.3635150416767488</v>
      </c>
      <c r="Y2" s="7">
        <f>V8</f>
        <v>9.3935150416767499</v>
      </c>
      <c r="AA2" s="2" t="s">
        <v>11</v>
      </c>
    </row>
    <row r="3" spans="1:48" x14ac:dyDescent="0.35">
      <c r="A3" s="8" t="s">
        <v>12</v>
      </c>
      <c r="B3" s="8" t="s">
        <v>13</v>
      </c>
      <c r="C3" s="3"/>
      <c r="E3" s="8" t="s">
        <v>14</v>
      </c>
      <c r="F3" s="8" t="s">
        <v>15</v>
      </c>
      <c r="P3" s="2" t="s">
        <v>16</v>
      </c>
      <c r="Q3" s="9">
        <f>COUNT(E4:E23)</f>
        <v>20</v>
      </c>
      <c r="S3" s="2" t="e">
        <f ca="1">[2]!FTEXT(Q3)</f>
        <v>#NAME?</v>
      </c>
      <c r="U3" s="2" t="s">
        <v>17</v>
      </c>
      <c r="V3" s="10">
        <v>80</v>
      </c>
      <c r="W3" s="11">
        <f>W2</f>
        <v>1.5150000000000001</v>
      </c>
      <c r="X3" s="11">
        <f>X2</f>
        <v>-6.3635150416767488</v>
      </c>
      <c r="Y3" s="12">
        <f>Y2</f>
        <v>9.3935150416767499</v>
      </c>
      <c r="AJ3" s="13"/>
      <c r="AK3" s="13" t="str">
        <f>F3</f>
        <v>Y</v>
      </c>
      <c r="AN3" s="14" t="str">
        <f>F3</f>
        <v>Y</v>
      </c>
      <c r="AP3" s="2" t="s">
        <v>18</v>
      </c>
      <c r="AU3" s="13"/>
      <c r="AV3" s="13" t="str">
        <f>F3</f>
        <v>Y</v>
      </c>
    </row>
    <row r="4" spans="1:48" ht="15" thickBot="1" x14ac:dyDescent="0.4">
      <c r="A4" s="15">
        <v>38.799999999999997</v>
      </c>
      <c r="B4" s="15">
        <v>28.5</v>
      </c>
      <c r="C4" s="15"/>
      <c r="E4" s="2">
        <f t="shared" ref="E4:E23" si="0">AVERAGE(A4:B4)</f>
        <v>33.65</v>
      </c>
      <c r="F4" s="2">
        <f t="shared" ref="F4:F23" si="1">A4-B4</f>
        <v>10.299999999999997</v>
      </c>
      <c r="P4" s="2" t="s">
        <v>19</v>
      </c>
      <c r="Q4" s="9">
        <f>AVERAGE(F4:F23)</f>
        <v>1.5150000000000001</v>
      </c>
      <c r="S4" s="2" t="e">
        <f ca="1">[2]!FTEXT(Q4)</f>
        <v>#NAME?</v>
      </c>
      <c r="AA4" s="16" t="s">
        <v>20</v>
      </c>
      <c r="AB4" s="16"/>
      <c r="AD4" s="16"/>
      <c r="AE4" s="16"/>
      <c r="AJ4" s="2" t="s">
        <v>21</v>
      </c>
      <c r="AK4" s="2">
        <f>AVERAGE(F4:F23)</f>
        <v>1.5150000000000001</v>
      </c>
      <c r="AM4" s="2" t="s">
        <v>22</v>
      </c>
      <c r="AN4" s="17">
        <f>MIN(F4:F23)-$AN$10</f>
        <v>0</v>
      </c>
      <c r="AU4" s="2" t="s">
        <v>23</v>
      </c>
      <c r="AV4" s="2" t="e">
        <f ca="1">[2]!SHAPIRO(F4:F23)</f>
        <v>#NAME?</v>
      </c>
    </row>
    <row r="5" spans="1:48" ht="15" customHeight="1" thickTop="1" x14ac:dyDescent="0.45">
      <c r="A5" s="15">
        <v>43.7</v>
      </c>
      <c r="B5" s="15">
        <v>48.7</v>
      </c>
      <c r="C5" s="15"/>
      <c r="E5" s="2">
        <f t="shared" si="0"/>
        <v>46.2</v>
      </c>
      <c r="F5" s="2">
        <f t="shared" si="1"/>
        <v>-5</v>
      </c>
      <c r="P5" s="2" t="s">
        <v>24</v>
      </c>
      <c r="Q5" s="9">
        <f>STDEV(F4:F23)</f>
        <v>4.0197243948467793</v>
      </c>
      <c r="S5" s="18" t="s">
        <v>25</v>
      </c>
      <c r="W5" s="3" t="s">
        <v>26</v>
      </c>
      <c r="X5" s="3" t="s">
        <v>3</v>
      </c>
      <c r="Y5" s="3" t="s">
        <v>4</v>
      </c>
      <c r="AA5" s="2" t="s">
        <v>27</v>
      </c>
      <c r="AB5" s="2" t="e">
        <f ca="1">SQRT(AB6)</f>
        <v>#NAME?</v>
      </c>
      <c r="AD5" s="2" t="s">
        <v>28</v>
      </c>
      <c r="AE5" s="2" t="e">
        <f ca="1">AB9*LN(AC14/AB9)+2*(AB13+1)</f>
        <v>#NAME?</v>
      </c>
      <c r="AJ5" s="2" t="s">
        <v>29</v>
      </c>
      <c r="AK5" s="2">
        <f>STDEV(F4:F23)/SQRT(COUNT(F4:F23))</f>
        <v>0.89883769976916039</v>
      </c>
      <c r="AM5" s="2" t="s">
        <v>30</v>
      </c>
      <c r="AN5" s="19">
        <f>QUARTILE(F4:F23,1)-AN4-$AN$10</f>
        <v>4.1250000000000053</v>
      </c>
      <c r="AP5" s="2" t="s">
        <v>31</v>
      </c>
      <c r="AQ5" s="2">
        <f>COUNT(F4:F23)</f>
        <v>20</v>
      </c>
      <c r="AR5" s="2">
        <f>2*AQ5</f>
        <v>40</v>
      </c>
      <c r="AU5" s="2" t="s">
        <v>32</v>
      </c>
      <c r="AV5" s="2" t="e">
        <f ca="1">[2]!SWTEST(F4:F23)</f>
        <v>#NAME?</v>
      </c>
    </row>
    <row r="6" spans="1:48" x14ac:dyDescent="0.35">
      <c r="A6" s="15">
        <v>45.8</v>
      </c>
      <c r="B6" s="15">
        <v>41.5</v>
      </c>
      <c r="C6" s="15"/>
      <c r="E6" s="2">
        <f t="shared" si="0"/>
        <v>43.65</v>
      </c>
      <c r="F6" s="2">
        <f t="shared" si="1"/>
        <v>4.2999999999999972</v>
      </c>
      <c r="P6" s="2" t="s">
        <v>33</v>
      </c>
      <c r="Q6" s="9">
        <v>0.05</v>
      </c>
      <c r="U6" s="2" t="s">
        <v>2</v>
      </c>
      <c r="V6" s="20">
        <f>AVERAGE(F4:F23)</f>
        <v>1.5150000000000001</v>
      </c>
      <c r="W6" s="6">
        <f>Q5/SQRT(Q3)</f>
        <v>0.89883769976916039</v>
      </c>
      <c r="X6" s="6">
        <f>V6-W6*TINV(0.05,Q3-1)</f>
        <v>-0.36628892662588686</v>
      </c>
      <c r="Y6" s="21">
        <f>V6+W6*TINV(0.05,Q3-1)</f>
        <v>3.3962889266258873</v>
      </c>
      <c r="AA6" s="2" t="s">
        <v>34</v>
      </c>
      <c r="AB6" s="2" t="e">
        <f ca="1">AC13/AC15</f>
        <v>#NAME?</v>
      </c>
      <c r="AD6" s="2" t="s">
        <v>35</v>
      </c>
      <c r="AE6" s="2" t="e">
        <f ca="1">AE5+2*(AB13+2)*(AB13+3)/(AB9-AB13-3)</f>
        <v>#NAME?</v>
      </c>
      <c r="AJ6" s="2" t="s">
        <v>36</v>
      </c>
      <c r="AK6" s="2">
        <f>MEDIAN(F4:F23)</f>
        <v>1.6000000000000014</v>
      </c>
      <c r="AM6" s="2" t="s">
        <v>37</v>
      </c>
      <c r="AN6" s="19">
        <f>MEDIAN(F4:F23)-QUARTILE(F4:F23,1)</f>
        <v>2.6749999999999989</v>
      </c>
      <c r="AP6" s="2" t="s">
        <v>21</v>
      </c>
      <c r="AQ6" s="2">
        <f>AVERAGE(F4:F23)</f>
        <v>1.5150000000000001</v>
      </c>
      <c r="AU6" s="2" t="s">
        <v>33</v>
      </c>
      <c r="AV6" s="2">
        <v>0.05</v>
      </c>
    </row>
    <row r="7" spans="1:48" x14ac:dyDescent="0.35">
      <c r="A7" s="15">
        <v>50.3</v>
      </c>
      <c r="B7" s="15">
        <v>55.5</v>
      </c>
      <c r="C7" s="15"/>
      <c r="E7" s="2">
        <f t="shared" si="0"/>
        <v>52.9</v>
      </c>
      <c r="F7" s="2">
        <f t="shared" si="1"/>
        <v>-5.2000000000000028</v>
      </c>
      <c r="P7" s="2" t="s">
        <v>3</v>
      </c>
      <c r="Q7" s="9">
        <f>Q4-Q5*NORMSINV(1-Q6/2)</f>
        <v>-6.3635150416767488</v>
      </c>
      <c r="S7" s="18" t="s">
        <v>38</v>
      </c>
      <c r="U7" s="2" t="s">
        <v>3</v>
      </c>
      <c r="V7" s="22">
        <f>V6-Q5*NORMSINV(0.975)</f>
        <v>-6.3635150416767488</v>
      </c>
      <c r="W7" s="2">
        <f>SQRT((1/Q3)+NORMSINV(0.975)^2/(2*(Q3-1)))*Q5</f>
        <v>1.5624840989668947</v>
      </c>
      <c r="X7" s="2">
        <f>V7-W7*TINV(0.05,Q3-1)</f>
        <v>-9.6338318454449521</v>
      </c>
      <c r="Y7" s="23">
        <f>V7+W7*TINV(0.05,Q3-1)</f>
        <v>-3.0931982379085445</v>
      </c>
      <c r="AA7" s="2" t="s">
        <v>39</v>
      </c>
      <c r="AB7" s="2" t="e">
        <f ca="1">1-(1-AB6)*(AB9-1)/(AB9-AB13-1)</f>
        <v>#NAME?</v>
      </c>
      <c r="AD7" s="11" t="s">
        <v>40</v>
      </c>
      <c r="AE7" s="11" t="e">
        <f ca="1">AB9*LN(AC14/AB9)+(AB13+1)*LN(AB9)</f>
        <v>#NAME?</v>
      </c>
      <c r="AJ7" s="2" t="s">
        <v>41</v>
      </c>
      <c r="AK7" s="2" t="e">
        <f>MODE(F4:F23)</f>
        <v>#N/A</v>
      </c>
      <c r="AM7" s="2" t="s">
        <v>42</v>
      </c>
      <c r="AN7" s="19">
        <f>QUARTILE(F4:F23,3)-MEDIAN(F4:F23)</f>
        <v>2.774999999999995</v>
      </c>
      <c r="AP7" s="2" t="s">
        <v>43</v>
      </c>
      <c r="AQ7" s="2">
        <f>STDEV(F4:F23)</f>
        <v>4.0197243948467793</v>
      </c>
      <c r="AU7" s="11" t="s">
        <v>44</v>
      </c>
      <c r="AV7" s="24" t="e">
        <f ca="1">IF(AV5&lt;AV6,"no","yes")</f>
        <v>#NAME?</v>
      </c>
    </row>
    <row r="8" spans="1:48" x14ac:dyDescent="0.35">
      <c r="A8" s="15">
        <v>56.5</v>
      </c>
      <c r="B8" s="15">
        <v>58.4</v>
      </c>
      <c r="C8" s="15"/>
      <c r="E8" s="2">
        <f t="shared" si="0"/>
        <v>57.45</v>
      </c>
      <c r="F8" s="2">
        <f t="shared" si="1"/>
        <v>-1.8999999999999986</v>
      </c>
      <c r="P8" s="2" t="s">
        <v>4</v>
      </c>
      <c r="Q8" s="25">
        <f>Q4+Q5*NORMSINV(1-Q6/2)</f>
        <v>9.3935150416767499</v>
      </c>
      <c r="S8" s="18" t="s">
        <v>45</v>
      </c>
      <c r="U8" s="2" t="s">
        <v>4</v>
      </c>
      <c r="V8" s="10">
        <f>V6+Q5*NORMSINV(0.975)</f>
        <v>9.3935150416767499</v>
      </c>
      <c r="W8" s="11">
        <f>W7</f>
        <v>1.5624840989668947</v>
      </c>
      <c r="X8" s="11">
        <f>V8-W8*TINV(0.05,Q3-1)</f>
        <v>6.1231982379085457</v>
      </c>
      <c r="Y8" s="12">
        <f>V8+W8*TINV(0.05,Q3-1)</f>
        <v>12.663831845444953</v>
      </c>
      <c r="AA8" s="2" t="s">
        <v>29</v>
      </c>
      <c r="AB8" s="2" t="e">
        <f ca="1">SQRT(AD14)</f>
        <v>#NAME?</v>
      </c>
      <c r="AJ8" s="2" t="s">
        <v>46</v>
      </c>
      <c r="AK8" s="2">
        <f>STDEV(F4:F23)</f>
        <v>4.0197243948467793</v>
      </c>
      <c r="AM8" s="2" t="s">
        <v>47</v>
      </c>
      <c r="AN8" s="26">
        <f>MAX(F4:F23)-QUARTILE(F4:F23,3)</f>
        <v>5.9250000000000007</v>
      </c>
    </row>
    <row r="9" spans="1:48" x14ac:dyDescent="0.35">
      <c r="A9" s="15">
        <v>61.5</v>
      </c>
      <c r="B9" s="15">
        <v>56.3</v>
      </c>
      <c r="C9" s="15"/>
      <c r="E9" s="2">
        <f t="shared" si="0"/>
        <v>58.9</v>
      </c>
      <c r="F9" s="2">
        <f t="shared" si="1"/>
        <v>5.2000000000000028</v>
      </c>
      <c r="AA9" s="11" t="s">
        <v>48</v>
      </c>
      <c r="AB9" s="11">
        <f>COUNT(F4:F23)</f>
        <v>20</v>
      </c>
      <c r="AJ9" s="2" t="s">
        <v>49</v>
      </c>
      <c r="AK9" s="2">
        <f>VAR(F4:F23)</f>
        <v>16.158184210526304</v>
      </c>
      <c r="AP9" s="2" t="s">
        <v>50</v>
      </c>
      <c r="AQ9" s="2" t="s">
        <v>51</v>
      </c>
      <c r="AR9" s="2" t="s">
        <v>52</v>
      </c>
      <c r="AS9" s="2" t="s">
        <v>53</v>
      </c>
    </row>
    <row r="10" spans="1:48" x14ac:dyDescent="0.35">
      <c r="A10" s="15">
        <v>62.2</v>
      </c>
      <c r="B10" s="15">
        <v>61.6</v>
      </c>
      <c r="C10" s="15"/>
      <c r="E10" s="2">
        <f t="shared" si="0"/>
        <v>61.900000000000006</v>
      </c>
      <c r="F10" s="2">
        <f t="shared" si="1"/>
        <v>0.60000000000000142</v>
      </c>
      <c r="AJ10" s="2" t="s">
        <v>54</v>
      </c>
      <c r="AK10" s="2">
        <f>KURT(F4:F23)</f>
        <v>-0.11791773413427409</v>
      </c>
      <c r="AM10" s="2" t="s">
        <v>55</v>
      </c>
      <c r="AN10" s="27">
        <f>MIN(F4:F23)</f>
        <v>-5.2000000000000028</v>
      </c>
      <c r="AP10" s="2">
        <v>1</v>
      </c>
      <c r="AQ10" s="2" t="e">
        <f t="array" aca="1" ref="AQ10:AQ29" ca="1">[2]!QSORT(F4:F23)</f>
        <v>#NAME?</v>
      </c>
      <c r="AR10" s="2">
        <f t="shared" ref="AR10:AR29" si="2">NORMSINV(AP10/AR$5)</f>
        <v>-1.9599639845400538</v>
      </c>
      <c r="AS10" s="2" t="e">
        <f t="shared" ref="AS10:AS29" ca="1" si="3">STANDARDIZE(AQ10,AQ$6,AQ$7)</f>
        <v>#NAME?</v>
      </c>
    </row>
    <row r="11" spans="1:48" ht="15" thickBot="1" x14ac:dyDescent="0.4">
      <c r="A11" s="15">
        <v>62.8</v>
      </c>
      <c r="B11" s="15">
        <v>59.1</v>
      </c>
      <c r="C11" s="15"/>
      <c r="E11" s="2">
        <f t="shared" si="0"/>
        <v>60.95</v>
      </c>
      <c r="F11" s="2">
        <f t="shared" si="1"/>
        <v>3.6999999999999957</v>
      </c>
      <c r="AA11" s="2" t="s">
        <v>56</v>
      </c>
      <c r="AE11" s="3" t="s">
        <v>57</v>
      </c>
      <c r="AF11" s="3">
        <v>0.05</v>
      </c>
      <c r="AJ11" s="2" t="s">
        <v>58</v>
      </c>
      <c r="AK11" s="2">
        <f>SKEW(F4:F23)</f>
        <v>0.13632286760481688</v>
      </c>
      <c r="AP11" s="2">
        <f t="shared" ref="AP11:AP29" si="4">AP10+2</f>
        <v>3</v>
      </c>
      <c r="AQ11" s="2" t="e">
        <f ca="1"/>
        <v>#NAME?</v>
      </c>
      <c r="AR11" s="2">
        <f t="shared" si="2"/>
        <v>-1.4395314709384572</v>
      </c>
      <c r="AS11" s="2" t="e">
        <f t="shared" ca="1" si="3"/>
        <v>#NAME?</v>
      </c>
    </row>
    <row r="12" spans="1:48" ht="15" customHeight="1" thickTop="1" x14ac:dyDescent="0.35">
      <c r="A12" s="15">
        <v>63.7</v>
      </c>
      <c r="B12" s="15">
        <v>59.1</v>
      </c>
      <c r="C12" s="15"/>
      <c r="E12" s="2">
        <f t="shared" si="0"/>
        <v>61.400000000000006</v>
      </c>
      <c r="F12" s="2">
        <f t="shared" si="1"/>
        <v>4.6000000000000014</v>
      </c>
      <c r="AA12" s="28"/>
      <c r="AB12" s="28" t="s">
        <v>59</v>
      </c>
      <c r="AC12" s="28" t="s">
        <v>60</v>
      </c>
      <c r="AD12" s="28" t="s">
        <v>61</v>
      </c>
      <c r="AE12" s="28" t="s">
        <v>62</v>
      </c>
      <c r="AF12" s="28" t="s">
        <v>32</v>
      </c>
      <c r="AG12" s="28" t="s">
        <v>63</v>
      </c>
      <c r="AJ12" s="2" t="s">
        <v>64</v>
      </c>
      <c r="AK12" s="2">
        <f>AK13-AK14</f>
        <v>15.5</v>
      </c>
      <c r="AP12" s="2">
        <f t="shared" si="4"/>
        <v>5</v>
      </c>
      <c r="AQ12" s="2" t="e">
        <f ca="1"/>
        <v>#NAME?</v>
      </c>
      <c r="AR12" s="2">
        <f t="shared" si="2"/>
        <v>-1.1503493803760083</v>
      </c>
      <c r="AS12" s="2" t="e">
        <f t="shared" ca="1" si="3"/>
        <v>#NAME?</v>
      </c>
    </row>
    <row r="13" spans="1:48" x14ac:dyDescent="0.35">
      <c r="A13" s="15">
        <v>64.5</v>
      </c>
      <c r="B13" s="15">
        <v>64.599999999999994</v>
      </c>
      <c r="C13" s="15"/>
      <c r="E13" s="2">
        <f t="shared" si="0"/>
        <v>64.55</v>
      </c>
      <c r="F13" s="2">
        <f t="shared" si="1"/>
        <v>-9.9999999999994316E-2</v>
      </c>
      <c r="AA13" s="2" t="s">
        <v>65</v>
      </c>
      <c r="AB13" s="2">
        <f>COUNT(E4)</f>
        <v>1</v>
      </c>
      <c r="AC13" s="2" t="e">
        <f ca="1">DEVSQ(MMULT([2]!DEsign(E4:E23),AB18:AB19))</f>
        <v>#NAME?</v>
      </c>
      <c r="AD13" s="2" t="e">
        <f ca="1">AC13/AB13</f>
        <v>#NAME?</v>
      </c>
      <c r="AE13" s="2" t="e">
        <f ca="1">AD13/AD14</f>
        <v>#NAME?</v>
      </c>
      <c r="AF13" s="2" t="e">
        <f ca="1">FDIST(AE13,AB13,AB14)</f>
        <v>#NAME?</v>
      </c>
      <c r="AG13" s="3" t="e">
        <f ca="1">IF(AF13&lt;AF11,"yes","no")</f>
        <v>#NAME?</v>
      </c>
      <c r="AJ13" s="2" t="s">
        <v>66</v>
      </c>
      <c r="AK13" s="2">
        <f>MAX(F4:F23)</f>
        <v>10.299999999999997</v>
      </c>
      <c r="AP13" s="2">
        <f t="shared" si="4"/>
        <v>7</v>
      </c>
      <c r="AQ13" s="2" t="e">
        <f ca="1"/>
        <v>#NAME?</v>
      </c>
      <c r="AR13" s="2">
        <f t="shared" si="2"/>
        <v>-0.93458929107347943</v>
      </c>
      <c r="AS13" s="2" t="e">
        <f t="shared" ca="1" si="3"/>
        <v>#NAME?</v>
      </c>
    </row>
    <row r="14" spans="1:48" x14ac:dyDescent="0.35">
      <c r="A14" s="15">
        <v>66.2</v>
      </c>
      <c r="B14" s="15">
        <v>63.9</v>
      </c>
      <c r="C14" s="15"/>
      <c r="E14" s="2">
        <f t="shared" si="0"/>
        <v>65.05</v>
      </c>
      <c r="F14" s="2">
        <f t="shared" si="1"/>
        <v>2.3000000000000043</v>
      </c>
      <c r="AA14" s="2" t="s">
        <v>67</v>
      </c>
      <c r="AB14" s="2">
        <f>AB15-AB13</f>
        <v>18</v>
      </c>
      <c r="AC14" s="2" t="e">
        <f ca="1">AC15-AC13</f>
        <v>#NAME?</v>
      </c>
      <c r="AD14" s="2" t="e">
        <f ca="1">AC14/AB14</f>
        <v>#NAME?</v>
      </c>
      <c r="AJ14" s="2" t="s">
        <v>68</v>
      </c>
      <c r="AK14" s="2">
        <f>MIN(F4:F23)</f>
        <v>-5.2000000000000028</v>
      </c>
      <c r="AP14" s="2">
        <f t="shared" si="4"/>
        <v>9</v>
      </c>
      <c r="AQ14" s="2" t="e">
        <f ca="1"/>
        <v>#NAME?</v>
      </c>
      <c r="AR14" s="2">
        <f t="shared" si="2"/>
        <v>-0.75541502636046909</v>
      </c>
      <c r="AS14" s="2" t="e">
        <f t="shared" ca="1" si="3"/>
        <v>#NAME?</v>
      </c>
    </row>
    <row r="15" spans="1:48" x14ac:dyDescent="0.35">
      <c r="A15" s="15">
        <v>67.3</v>
      </c>
      <c r="B15" s="15">
        <v>66.099999999999994</v>
      </c>
      <c r="C15" s="15"/>
      <c r="E15" s="2">
        <f t="shared" si="0"/>
        <v>66.699999999999989</v>
      </c>
      <c r="F15" s="2">
        <f t="shared" si="1"/>
        <v>1.2000000000000028</v>
      </c>
      <c r="AA15" s="11" t="s">
        <v>69</v>
      </c>
      <c r="AB15" s="11">
        <f>AB9-1</f>
        <v>19</v>
      </c>
      <c r="AC15" s="11">
        <f>DEVSQ(F4:F23)</f>
        <v>307.00549999999976</v>
      </c>
      <c r="AD15" s="11"/>
      <c r="AE15" s="11"/>
      <c r="AF15" s="11"/>
      <c r="AG15" s="11"/>
      <c r="AJ15" s="2" t="s">
        <v>70</v>
      </c>
      <c r="AK15" s="2">
        <f>SUM(F4:F23)</f>
        <v>30.300000000000004</v>
      </c>
      <c r="AP15" s="2">
        <f t="shared" si="4"/>
        <v>11</v>
      </c>
      <c r="AQ15" s="2" t="e">
        <f ca="1"/>
        <v>#NAME?</v>
      </c>
      <c r="AR15" s="2">
        <f t="shared" si="2"/>
        <v>-0.59776012604247841</v>
      </c>
      <c r="AS15" s="2" t="e">
        <f t="shared" ca="1" si="3"/>
        <v>#NAME?</v>
      </c>
    </row>
    <row r="16" spans="1:48" ht="15" thickBot="1" x14ac:dyDescent="0.4">
      <c r="A16" s="15">
        <v>68.3</v>
      </c>
      <c r="B16" s="15">
        <v>66.599999999999994</v>
      </c>
      <c r="C16" s="15"/>
      <c r="E16" s="2">
        <f t="shared" si="0"/>
        <v>67.449999999999989</v>
      </c>
      <c r="F16" s="2">
        <f t="shared" si="1"/>
        <v>1.7000000000000028</v>
      </c>
      <c r="AJ16" s="2" t="s">
        <v>31</v>
      </c>
      <c r="AK16" s="2">
        <f>COUNT(F4:F23)</f>
        <v>20</v>
      </c>
      <c r="AP16" s="2">
        <f t="shared" si="4"/>
        <v>13</v>
      </c>
      <c r="AQ16" s="2" t="e">
        <f ca="1"/>
        <v>#NAME?</v>
      </c>
      <c r="AR16" s="2">
        <f t="shared" si="2"/>
        <v>-0.45376219016987951</v>
      </c>
      <c r="AS16" s="2" t="e">
        <f t="shared" ca="1" si="3"/>
        <v>#NAME?</v>
      </c>
    </row>
    <row r="17" spans="1:45" ht="15" thickTop="1" x14ac:dyDescent="0.35">
      <c r="A17" s="15">
        <v>68.400000000000006</v>
      </c>
      <c r="B17" s="15">
        <v>69.2</v>
      </c>
      <c r="C17" s="15"/>
      <c r="E17" s="2">
        <f t="shared" si="0"/>
        <v>68.800000000000011</v>
      </c>
      <c r="F17" s="2">
        <f t="shared" si="1"/>
        <v>-0.79999999999999716</v>
      </c>
      <c r="AA17" s="28"/>
      <c r="AB17" s="28" t="s">
        <v>71</v>
      </c>
      <c r="AC17" s="28" t="s">
        <v>72</v>
      </c>
      <c r="AD17" s="28" t="s">
        <v>73</v>
      </c>
      <c r="AE17" s="28" t="s">
        <v>32</v>
      </c>
      <c r="AF17" s="28" t="s">
        <v>3</v>
      </c>
      <c r="AG17" s="28" t="s">
        <v>4</v>
      </c>
      <c r="AH17" s="28" t="s">
        <v>74</v>
      </c>
      <c r="AJ17" s="2" t="s">
        <v>75</v>
      </c>
      <c r="AK17" s="2" t="e">
        <f>GEOMEAN(F4:F23)</f>
        <v>#NUM!</v>
      </c>
      <c r="AP17" s="2">
        <f t="shared" si="4"/>
        <v>15</v>
      </c>
      <c r="AQ17" s="2" t="e">
        <f ca="1"/>
        <v>#NAME?</v>
      </c>
      <c r="AR17" s="2">
        <f t="shared" si="2"/>
        <v>-0.3186393639643752</v>
      </c>
      <c r="AS17" s="2" t="e">
        <f t="shared" ca="1" si="3"/>
        <v>#NAME?</v>
      </c>
    </row>
    <row r="18" spans="1:45" x14ac:dyDescent="0.35">
      <c r="A18" s="15">
        <v>69.3</v>
      </c>
      <c r="B18" s="15">
        <v>64.7</v>
      </c>
      <c r="C18" s="15"/>
      <c r="E18" s="2">
        <f t="shared" si="0"/>
        <v>67</v>
      </c>
      <c r="F18" s="2">
        <f t="shared" si="1"/>
        <v>4.5999999999999943</v>
      </c>
      <c r="AA18" s="2" t="s">
        <v>76</v>
      </c>
      <c r="AB18" s="2" t="e">
        <f t="array" aca="1" ref="AB18:AC19" ca="1">[2]!RegCoeff(E4:E23,F4:F23)</f>
        <v>#NAME?</v>
      </c>
      <c r="AC18" s="2" t="e">
        <f ca="1"/>
        <v>#NAME?</v>
      </c>
      <c r="AD18" s="2" t="e">
        <f ca="1">AB18/AC18</f>
        <v>#NAME?</v>
      </c>
      <c r="AE18" s="2" t="e">
        <f ca="1">TDIST(ABS(AD18),$AB$14,2)</f>
        <v>#NAME?</v>
      </c>
      <c r="AF18" s="2" t="e">
        <f ca="1">AB18-TINV(AF$11,$AB$14)*AC18</f>
        <v>#NAME?</v>
      </c>
      <c r="AG18" s="2" t="e">
        <f ca="1">AB18+TINV(AF$11,$AB$14)*AC18</f>
        <v>#NAME?</v>
      </c>
      <c r="AJ18" s="2" t="s">
        <v>77</v>
      </c>
      <c r="AK18" s="2" t="e">
        <f>HARMEAN(F4:F23)</f>
        <v>#NUM!</v>
      </c>
      <c r="AP18" s="2">
        <f t="shared" si="4"/>
        <v>17</v>
      </c>
      <c r="AQ18" s="2" t="e">
        <f ca="1"/>
        <v>#NAME?</v>
      </c>
      <c r="AR18" s="2">
        <f t="shared" si="2"/>
        <v>-0.18911842627279254</v>
      </c>
      <c r="AS18" s="2" t="e">
        <f t="shared" ca="1" si="3"/>
        <v>#NAME?</v>
      </c>
    </row>
    <row r="19" spans="1:45" x14ac:dyDescent="0.35">
      <c r="A19" s="15">
        <v>69.5</v>
      </c>
      <c r="B19" s="15">
        <v>67</v>
      </c>
      <c r="C19" s="15"/>
      <c r="E19" s="2">
        <f t="shared" si="0"/>
        <v>68.25</v>
      </c>
      <c r="F19" s="2">
        <f t="shared" si="1"/>
        <v>2.5</v>
      </c>
      <c r="AA19" s="11" t="str">
        <f t="array" ref="AA19">TRANSPOSE(E3)</f>
        <v>X</v>
      </c>
      <c r="AB19" s="11" t="e">
        <f ca="1"/>
        <v>#NAME?</v>
      </c>
      <c r="AC19" s="11" t="e">
        <f ca="1"/>
        <v>#NAME?</v>
      </c>
      <c r="AD19" s="11" t="e">
        <f ca="1">AB19/AC19</f>
        <v>#NAME?</v>
      </c>
      <c r="AE19" s="11" t="e">
        <f ca="1">TDIST(ABS(AD19),$AB$14,2)</f>
        <v>#NAME?</v>
      </c>
      <c r="AF19" s="11" t="e">
        <f ca="1">AB19-TINV(AF$11,$AB$14)*AC19</f>
        <v>#NAME?</v>
      </c>
      <c r="AG19" s="11" t="e">
        <f ca="1">AB19+TINV(AF$11,$AB$14)*AC19</f>
        <v>#NAME?</v>
      </c>
      <c r="AH19" s="11" t="e">
        <f ca="1">[2]!VIF(E4:E23,1)</f>
        <v>#NAME?</v>
      </c>
      <c r="AJ19" s="2" t="s">
        <v>78</v>
      </c>
      <c r="AK19" s="2">
        <f>AVEDEV(F4:F23)</f>
        <v>3.1149999999999989</v>
      </c>
      <c r="AP19" s="2">
        <f t="shared" si="4"/>
        <v>19</v>
      </c>
      <c r="AQ19" s="2" t="e">
        <f ca="1"/>
        <v>#NAME?</v>
      </c>
      <c r="AR19" s="2">
        <f t="shared" si="2"/>
        <v>-6.2706777943213846E-2</v>
      </c>
      <c r="AS19" s="2" t="e">
        <f t="shared" ca="1" si="3"/>
        <v>#NAME?</v>
      </c>
    </row>
    <row r="20" spans="1:45" x14ac:dyDescent="0.35">
      <c r="A20" s="15">
        <v>72.5</v>
      </c>
      <c r="B20" s="15">
        <v>75.3</v>
      </c>
      <c r="C20" s="15"/>
      <c r="E20" s="2">
        <f t="shared" si="0"/>
        <v>73.900000000000006</v>
      </c>
      <c r="F20" s="2">
        <f t="shared" si="1"/>
        <v>-2.7999999999999972</v>
      </c>
      <c r="AJ20" s="2" t="s">
        <v>79</v>
      </c>
      <c r="AK20" s="2" t="e">
        <f ca="1">[2]!MAD(F4:F23)</f>
        <v>#NAME?</v>
      </c>
      <c r="AP20" s="2">
        <f t="shared" si="4"/>
        <v>21</v>
      </c>
      <c r="AQ20" s="2" t="e">
        <f ca="1"/>
        <v>#NAME?</v>
      </c>
      <c r="AR20" s="2">
        <f t="shared" si="2"/>
        <v>6.2706777943213846E-2</v>
      </c>
      <c r="AS20" s="2" t="e">
        <f t="shared" ca="1" si="3"/>
        <v>#NAME?</v>
      </c>
    </row>
    <row r="21" spans="1:45" x14ac:dyDescent="0.35">
      <c r="A21" s="15">
        <v>73</v>
      </c>
      <c r="B21" s="15">
        <v>65.900000000000006</v>
      </c>
      <c r="C21" s="15"/>
      <c r="E21" s="2">
        <f t="shared" si="0"/>
        <v>69.45</v>
      </c>
      <c r="F21" s="2">
        <f t="shared" si="1"/>
        <v>7.0999999999999943</v>
      </c>
      <c r="AJ21" s="11" t="s">
        <v>80</v>
      </c>
      <c r="AK21" s="11" t="e">
        <f ca="1">[2]!IQR(F4:F23,FALSE)</f>
        <v>#NAME?</v>
      </c>
      <c r="AP21" s="2">
        <f t="shared" si="4"/>
        <v>23</v>
      </c>
      <c r="AQ21" s="2" t="e">
        <f ca="1"/>
        <v>#NAME?</v>
      </c>
      <c r="AR21" s="2">
        <f t="shared" si="2"/>
        <v>0.18911842627279243</v>
      </c>
      <c r="AS21" s="2" t="e">
        <f t="shared" ca="1" si="3"/>
        <v>#NAME?</v>
      </c>
    </row>
    <row r="22" spans="1:45" x14ac:dyDescent="0.35">
      <c r="A22" s="15">
        <v>75.3</v>
      </c>
      <c r="B22" s="15">
        <v>78.8</v>
      </c>
      <c r="C22" s="15"/>
      <c r="E22" s="2">
        <f t="shared" si="0"/>
        <v>77.05</v>
      </c>
      <c r="F22" s="2">
        <f t="shared" si="1"/>
        <v>-3.5</v>
      </c>
      <c r="AP22" s="2">
        <f t="shared" si="4"/>
        <v>25</v>
      </c>
      <c r="AQ22" s="2" t="e">
        <f ca="1"/>
        <v>#NAME?</v>
      </c>
      <c r="AR22" s="2">
        <f t="shared" si="2"/>
        <v>0.3186393639643752</v>
      </c>
      <c r="AS22" s="2" t="e">
        <f t="shared" ca="1" si="3"/>
        <v>#NAME?</v>
      </c>
    </row>
    <row r="23" spans="1:45" x14ac:dyDescent="0.35">
      <c r="A23" s="29">
        <v>77.2</v>
      </c>
      <c r="B23" s="29">
        <v>75.7</v>
      </c>
      <c r="C23" s="15"/>
      <c r="E23" s="11">
        <f t="shared" si="0"/>
        <v>76.45</v>
      </c>
      <c r="F23" s="11">
        <f t="shared" si="1"/>
        <v>1.5</v>
      </c>
      <c r="AP23" s="2">
        <f t="shared" si="4"/>
        <v>27</v>
      </c>
      <c r="AQ23" s="2" t="e">
        <f ca="1"/>
        <v>#NAME?</v>
      </c>
      <c r="AR23" s="2">
        <f t="shared" si="2"/>
        <v>0.45376219016987968</v>
      </c>
      <c r="AS23" s="2" t="e">
        <f t="shared" ca="1" si="3"/>
        <v>#NAME?</v>
      </c>
    </row>
    <row r="24" spans="1:45" x14ac:dyDescent="0.35">
      <c r="AP24" s="2">
        <f t="shared" si="4"/>
        <v>29</v>
      </c>
      <c r="AQ24" s="2" t="e">
        <f ca="1"/>
        <v>#NAME?</v>
      </c>
      <c r="AR24" s="2">
        <f t="shared" si="2"/>
        <v>0.59776012604247841</v>
      </c>
      <c r="AS24" s="2" t="e">
        <f t="shared" ca="1" si="3"/>
        <v>#NAME?</v>
      </c>
    </row>
    <row r="25" spans="1:45" x14ac:dyDescent="0.35">
      <c r="AP25" s="2">
        <f t="shared" si="4"/>
        <v>31</v>
      </c>
      <c r="AQ25" s="2" t="e">
        <f ca="1"/>
        <v>#NAME?</v>
      </c>
      <c r="AR25" s="2">
        <f t="shared" si="2"/>
        <v>0.75541502636046909</v>
      </c>
      <c r="AS25" s="2" t="e">
        <f t="shared" ca="1" si="3"/>
        <v>#NAME?</v>
      </c>
    </row>
    <row r="26" spans="1:45" x14ac:dyDescent="0.35">
      <c r="AP26" s="2">
        <f t="shared" si="4"/>
        <v>33</v>
      </c>
      <c r="AQ26" s="2" t="e">
        <f ca="1"/>
        <v>#NAME?</v>
      </c>
      <c r="AR26" s="2">
        <f t="shared" si="2"/>
        <v>0.9345892910734801</v>
      </c>
      <c r="AS26" s="2" t="e">
        <f t="shared" ca="1" si="3"/>
        <v>#NAME?</v>
      </c>
    </row>
    <row r="27" spans="1:45" x14ac:dyDescent="0.35">
      <c r="AP27" s="2">
        <f t="shared" si="4"/>
        <v>35</v>
      </c>
      <c r="AQ27" s="2" t="e">
        <f ca="1"/>
        <v>#NAME?</v>
      </c>
      <c r="AR27" s="2">
        <f t="shared" si="2"/>
        <v>1.1503493803760083</v>
      </c>
      <c r="AS27" s="2" t="e">
        <f t="shared" ca="1" si="3"/>
        <v>#NAME?</v>
      </c>
    </row>
    <row r="28" spans="1:45" x14ac:dyDescent="0.35">
      <c r="AP28" s="2">
        <f t="shared" si="4"/>
        <v>37</v>
      </c>
      <c r="AQ28" s="2" t="e">
        <f ca="1"/>
        <v>#NAME?</v>
      </c>
      <c r="AR28" s="2">
        <f t="shared" si="2"/>
        <v>1.4395314709384563</v>
      </c>
      <c r="AS28" s="2" t="e">
        <f t="shared" ca="1" si="3"/>
        <v>#NAME?</v>
      </c>
    </row>
    <row r="29" spans="1:45" x14ac:dyDescent="0.35">
      <c r="AP29" s="2">
        <f t="shared" si="4"/>
        <v>39</v>
      </c>
      <c r="AQ29" s="2" t="e">
        <f ca="1"/>
        <v>#NAME?</v>
      </c>
      <c r="AR29" s="2">
        <f t="shared" si="2"/>
        <v>1.9599639845400536</v>
      </c>
      <c r="AS29" s="2" t="e">
        <f t="shared" ca="1" si="3"/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56DC-3B78-47BF-8618-979B8875CF54}">
  <sheetPr codeName="Sheet86"/>
  <dimension ref="A1:H23"/>
  <sheetViews>
    <sheetView workbookViewId="0"/>
  </sheetViews>
  <sheetFormatPr defaultRowHeight="14.5" x14ac:dyDescent="0.35"/>
  <cols>
    <col min="1" max="2" width="5.81640625" style="2" customWidth="1"/>
    <col min="3" max="3" width="4.26953125" customWidth="1"/>
    <col min="4" max="4" width="11.1796875" customWidth="1"/>
  </cols>
  <sheetData>
    <row r="1" spans="1:8" x14ac:dyDescent="0.35">
      <c r="A1" s="1" t="s">
        <v>0</v>
      </c>
    </row>
    <row r="3" spans="1:8" x14ac:dyDescent="0.35">
      <c r="A3" s="30" t="s">
        <v>12</v>
      </c>
      <c r="B3" s="30" t="s">
        <v>13</v>
      </c>
      <c r="D3" t="s">
        <v>0</v>
      </c>
    </row>
    <row r="4" spans="1:8" x14ac:dyDescent="0.35">
      <c r="A4" s="15">
        <v>38.799999999999997</v>
      </c>
      <c r="B4" s="15">
        <v>28.5</v>
      </c>
    </row>
    <row r="5" spans="1:8" x14ac:dyDescent="0.35">
      <c r="A5" s="15">
        <v>43.7</v>
      </c>
      <c r="B5" s="15">
        <v>48.7</v>
      </c>
      <c r="E5" s="31" t="s">
        <v>81</v>
      </c>
      <c r="F5" s="31" t="s">
        <v>26</v>
      </c>
      <c r="G5" s="31" t="s">
        <v>3</v>
      </c>
      <c r="H5" s="31" t="s">
        <v>4</v>
      </c>
    </row>
    <row r="6" spans="1:8" x14ac:dyDescent="0.35">
      <c r="A6" s="15">
        <v>45.8</v>
      </c>
      <c r="B6" s="15">
        <v>41.5</v>
      </c>
      <c r="D6" t="s">
        <v>82</v>
      </c>
      <c r="E6" s="32">
        <f t="array" ref="E6">AVERAGE(A4:A23-B4:B23)</f>
        <v>1.5150000000000001</v>
      </c>
      <c r="F6" s="33">
        <f>E10/SQRT(E11)</f>
        <v>0.89883769976916039</v>
      </c>
      <c r="G6" s="33">
        <f>E6-F6*TINV(E$12,E$11-1)</f>
        <v>-0.36628892662588686</v>
      </c>
      <c r="H6" s="34">
        <f>E6+F6*TINV(E$12,E$11-1)</f>
        <v>3.3962889266258873</v>
      </c>
    </row>
    <row r="7" spans="1:8" x14ac:dyDescent="0.35">
      <c r="A7" s="15">
        <v>50.3</v>
      </c>
      <c r="B7" s="15">
        <v>55.5</v>
      </c>
      <c r="D7" t="s">
        <v>83</v>
      </c>
      <c r="E7" s="35">
        <f>E6-E10*NORMSINV(1-E12/2)</f>
        <v>-6.3635150416767488</v>
      </c>
      <c r="F7">
        <f>SQRT(1/E11+NORMSINV(1-E12/2)^2/(2*(E11-1)))*E10</f>
        <v>1.5624840989668947</v>
      </c>
      <c r="G7">
        <f t="shared" ref="G7:G8" si="0">E7-F7*TINV(E$12,E$11-1)</f>
        <v>-9.6338318454449521</v>
      </c>
      <c r="H7" s="36">
        <f t="shared" ref="H7:H8" si="1">E7+F7*TINV(E$12,E$11-1)</f>
        <v>-3.0931982379085445</v>
      </c>
    </row>
    <row r="8" spans="1:8" x14ac:dyDescent="0.35">
      <c r="A8" s="15">
        <v>56.5</v>
      </c>
      <c r="B8" s="15">
        <v>58.4</v>
      </c>
      <c r="D8" t="s">
        <v>84</v>
      </c>
      <c r="E8" s="37">
        <f>E6+E10*NORMSINV(1-E12/2)</f>
        <v>9.3935150416767499</v>
      </c>
      <c r="F8" s="38">
        <f>F7</f>
        <v>1.5624840989668947</v>
      </c>
      <c r="G8" s="38">
        <f t="shared" si="0"/>
        <v>6.1231982379085457</v>
      </c>
      <c r="H8" s="39">
        <f t="shared" si="1"/>
        <v>12.663831845444953</v>
      </c>
    </row>
    <row r="9" spans="1:8" x14ac:dyDescent="0.35">
      <c r="A9" s="15">
        <v>61.5</v>
      </c>
      <c r="B9" s="15">
        <v>56.3</v>
      </c>
    </row>
    <row r="10" spans="1:8" x14ac:dyDescent="0.35">
      <c r="A10" s="15">
        <v>62.2</v>
      </c>
      <c r="B10" s="15">
        <v>61.6</v>
      </c>
      <c r="D10" t="s">
        <v>85</v>
      </c>
      <c r="E10" s="40">
        <f t="array" ref="E10">STDEV(A4:A23-B4:B23)</f>
        <v>4.0197243948467793</v>
      </c>
    </row>
    <row r="11" spans="1:8" x14ac:dyDescent="0.35">
      <c r="A11" s="15">
        <v>62.8</v>
      </c>
      <c r="B11" s="15">
        <v>59.1</v>
      </c>
      <c r="D11" t="s">
        <v>86</v>
      </c>
      <c r="E11" s="41">
        <f>COUNT(A4:A23)</f>
        <v>20</v>
      </c>
    </row>
    <row r="12" spans="1:8" x14ac:dyDescent="0.35">
      <c r="A12" s="15">
        <v>63.7</v>
      </c>
      <c r="B12" s="15">
        <v>59.1</v>
      </c>
      <c r="D12" t="s">
        <v>33</v>
      </c>
      <c r="E12" s="42">
        <v>0.05</v>
      </c>
    </row>
    <row r="13" spans="1:8" x14ac:dyDescent="0.35">
      <c r="A13" s="15">
        <v>64.5</v>
      </c>
      <c r="B13" s="15">
        <v>64.599999999999994</v>
      </c>
    </row>
    <row r="14" spans="1:8" x14ac:dyDescent="0.35">
      <c r="A14" s="15">
        <v>66.2</v>
      </c>
      <c r="B14" s="15">
        <v>63.9</v>
      </c>
    </row>
    <row r="15" spans="1:8" x14ac:dyDescent="0.35">
      <c r="A15" s="15">
        <v>67.3</v>
      </c>
      <c r="B15" s="15">
        <v>66.099999999999994</v>
      </c>
    </row>
    <row r="16" spans="1:8" x14ac:dyDescent="0.35">
      <c r="A16" s="15">
        <v>68.3</v>
      </c>
      <c r="B16" s="15">
        <v>66.599999999999994</v>
      </c>
    </row>
    <row r="17" spans="1:2" x14ac:dyDescent="0.35">
      <c r="A17" s="15">
        <v>68.400000000000006</v>
      </c>
      <c r="B17" s="15">
        <v>69.2</v>
      </c>
    </row>
    <row r="18" spans="1:2" x14ac:dyDescent="0.35">
      <c r="A18" s="15">
        <v>69.3</v>
      </c>
      <c r="B18" s="15">
        <v>64.7</v>
      </c>
    </row>
    <row r="19" spans="1:2" x14ac:dyDescent="0.35">
      <c r="A19" s="15">
        <v>69.5</v>
      </c>
      <c r="B19" s="15">
        <v>67</v>
      </c>
    </row>
    <row r="20" spans="1:2" x14ac:dyDescent="0.35">
      <c r="A20" s="15">
        <v>72.5</v>
      </c>
      <c r="B20" s="15">
        <v>75.3</v>
      </c>
    </row>
    <row r="21" spans="1:2" x14ac:dyDescent="0.35">
      <c r="A21" s="15">
        <v>73</v>
      </c>
      <c r="B21" s="15">
        <v>65.900000000000006</v>
      </c>
    </row>
    <row r="22" spans="1:2" x14ac:dyDescent="0.35">
      <c r="A22" s="15">
        <v>75.3</v>
      </c>
      <c r="B22" s="15">
        <v>78.8</v>
      </c>
    </row>
    <row r="23" spans="1:2" x14ac:dyDescent="0.35">
      <c r="A23" s="29">
        <v>77.2</v>
      </c>
      <c r="B23" s="29">
        <v>75.7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2022-07-15T07:00:48Z</dcterms:created>
  <dcterms:modified xsi:type="dcterms:W3CDTF">2022-07-15T07:06:51Z</dcterms:modified>
</cp:coreProperties>
</file>