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7FC161B2-4C4B-4B64-A188-03398C2104B8}" xr6:coauthVersionLast="47" xr6:coauthVersionMax="47" xr10:uidLastSave="{00000000-0000-0000-0000-000000000000}"/>
  <bookViews>
    <workbookView xWindow="-110" yWindow="-110" windowWidth="19420" windowHeight="10300" xr2:uid="{107101BD-CD30-4D69-97CE-D75CC9618A07}"/>
  </bookViews>
  <sheets>
    <sheet name="Title" sheetId="1" r:id="rId1"/>
    <sheet name="ANCOVA" sheetId="4" r:id="rId2"/>
    <sheet name="Tool" sheetId="5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5" l="1" a="1"/>
  <c r="M15" i="5" s="1"/>
  <c r="J17" i="5"/>
  <c r="I17" i="5"/>
  <c r="H17" i="5"/>
  <c r="G17" i="5"/>
  <c r="E17" i="5"/>
  <c r="D17" i="5"/>
  <c r="C17" i="5"/>
  <c r="B17" i="5"/>
  <c r="N16" i="5"/>
  <c r="N15" i="5" s="1"/>
  <c r="M16" i="5"/>
  <c r="J16" i="5"/>
  <c r="I16" i="5"/>
  <c r="H16" i="5"/>
  <c r="G16" i="5"/>
  <c r="E16" i="5"/>
  <c r="D16" i="5"/>
  <c r="C16" i="5"/>
  <c r="B16" i="5"/>
  <c r="M9" i="5"/>
  <c r="P5" i="5"/>
  <c r="O5" i="5"/>
  <c r="N5" i="5"/>
  <c r="M5" i="5"/>
  <c r="N14" i="5" s="1"/>
  <c r="P4" i="5"/>
  <c r="O4" i="5"/>
  <c r="N4" i="5"/>
  <c r="M4" i="5"/>
  <c r="P3" i="5"/>
  <c r="O3" i="5"/>
  <c r="N3" i="5"/>
  <c r="M3" i="5"/>
  <c r="V57" i="4"/>
  <c r="V56" i="4"/>
  <c r="O33" i="4"/>
  <c r="N33" i="4"/>
  <c r="O31" i="4"/>
  <c r="O30" i="4"/>
  <c r="G26" i="4"/>
  <c r="N24" i="4"/>
  <c r="J23" i="4"/>
  <c r="G23" i="4"/>
  <c r="K23" i="4" s="1"/>
  <c r="G25" i="4" s="1"/>
  <c r="O22" i="4"/>
  <c r="O24" i="4" s="1"/>
  <c r="J22" i="4"/>
  <c r="I22" i="4"/>
  <c r="I23" i="4" s="1"/>
  <c r="H22" i="4"/>
  <c r="G22" i="4"/>
  <c r="O21" i="4"/>
  <c r="K21" i="4"/>
  <c r="J21" i="4"/>
  <c r="I21" i="4"/>
  <c r="H21" i="4"/>
  <c r="H23" i="4" s="1"/>
  <c r="G21" i="4"/>
  <c r="J17" i="4"/>
  <c r="I17" i="4"/>
  <c r="H17" i="4"/>
  <c r="G17" i="4"/>
  <c r="E17" i="4"/>
  <c r="D17" i="4"/>
  <c r="C17" i="4"/>
  <c r="B17" i="4"/>
  <c r="J16" i="4"/>
  <c r="I16" i="4"/>
  <c r="H16" i="4"/>
  <c r="G16" i="4"/>
  <c r="E16" i="4"/>
  <c r="D16" i="4"/>
  <c r="C16" i="4"/>
  <c r="B16" i="4"/>
  <c r="N22" i="4" l="1"/>
  <c r="N29" i="4"/>
  <c r="P29" i="4" s="1"/>
  <c r="N21" i="4"/>
  <c r="M8" i="5"/>
  <c r="M6" i="5" l="1"/>
  <c r="M13" i="5"/>
  <c r="P6" i="5"/>
  <c r="O6" i="5"/>
  <c r="N6" i="5"/>
  <c r="N30" i="4"/>
  <c r="P30" i="4" s="1"/>
  <c r="P21" i="4"/>
  <c r="N31" i="4"/>
  <c r="P31" i="4" s="1"/>
  <c r="Q29" i="4" s="1"/>
  <c r="R29" i="4" s="1"/>
  <c r="P22" i="4"/>
  <c r="Q21" i="4" l="1"/>
  <c r="R21" i="4" s="1"/>
  <c r="Q30" i="4"/>
  <c r="R30" i="4" s="1"/>
  <c r="O13" i="5"/>
  <c r="R13" i="5"/>
  <c r="O15" i="5"/>
  <c r="M14" i="5"/>
  <c r="R14" i="5" l="1"/>
  <c r="O14" i="5"/>
  <c r="P14" i="5" s="1"/>
  <c r="Q14" i="5" s="1"/>
  <c r="P13" i="5"/>
  <c r="Q13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<sst xmlns="http://schemas.openxmlformats.org/spreadsheetml/2006/main" count="140" uniqueCount="56">
  <si>
    <t>ANCOVA</t>
  </si>
  <si>
    <t>Method 1</t>
  </si>
  <si>
    <t>Method 2</t>
  </si>
  <si>
    <t>Method 3</t>
  </si>
  <si>
    <t>Method 4</t>
  </si>
  <si>
    <t>mean</t>
  </si>
  <si>
    <t>var</t>
  </si>
  <si>
    <t>df</t>
  </si>
  <si>
    <t>SS</t>
  </si>
  <si>
    <t>MS</t>
  </si>
  <si>
    <t>F</t>
  </si>
  <si>
    <t>Total</t>
  </si>
  <si>
    <t>p-value</t>
  </si>
  <si>
    <t>ANOVA</t>
  </si>
  <si>
    <t>Source of Variation</t>
  </si>
  <si>
    <t>Covariate</t>
  </si>
  <si>
    <t>P-value</t>
  </si>
  <si>
    <t>ANCOVA (Reduced)</t>
  </si>
  <si>
    <t>Total (adj)</t>
  </si>
  <si>
    <r>
      <t>b</t>
    </r>
    <r>
      <rPr>
        <vertAlign val="subscript"/>
        <sz val="11"/>
        <color theme="1"/>
        <rFont val="Calibri"/>
        <family val="2"/>
        <scheme val="minor"/>
      </rPr>
      <t>T</t>
    </r>
  </si>
  <si>
    <t>ANCOVA - ANOVA Approach</t>
  </si>
  <si>
    <t>Reading Score</t>
  </si>
  <si>
    <t>Family Income</t>
  </si>
  <si>
    <t>ANOVA (Reading Score)</t>
  </si>
  <si>
    <t>Anova: Single Factor (Reading Score)</t>
  </si>
  <si>
    <t>F crit</t>
  </si>
  <si>
    <t>Between Groups</t>
  </si>
  <si>
    <t>SUMMARY</t>
  </si>
  <si>
    <t>Within Groups</t>
  </si>
  <si>
    <t>Groups</t>
  </si>
  <si>
    <t>Count</t>
  </si>
  <si>
    <t>Sum</t>
  </si>
  <si>
    <t>Average</t>
  </si>
  <si>
    <t>Variance</t>
  </si>
  <si>
    <t>ANOVA (Family Income)</t>
  </si>
  <si>
    <t>Slopes</t>
  </si>
  <si>
    <t>Between (adj)</t>
  </si>
  <si>
    <t>Anova: Single Factor (Family Income)</t>
  </si>
  <si>
    <t>slope</t>
  </si>
  <si>
    <t>Within (adj)</t>
  </si>
  <si>
    <t>SS * slope</t>
  </si>
  <si>
    <r>
      <t>b</t>
    </r>
    <r>
      <rPr>
        <vertAlign val="subscript"/>
        <sz val="11"/>
        <color theme="1"/>
        <rFont val="Calibri"/>
        <family val="2"/>
        <scheme val="minor"/>
      </rPr>
      <t>W</t>
    </r>
  </si>
  <si>
    <t>ANCOVA (Complete)</t>
  </si>
  <si>
    <t>Treatment</t>
  </si>
  <si>
    <t>ANCOVA - Data Analysis Tool</t>
  </si>
  <si>
    <t>ANCOVA: Single Factor</t>
  </si>
  <si>
    <t>adj mean</t>
  </si>
  <si>
    <t>Slope W</t>
  </si>
  <si>
    <t>Slope T</t>
  </si>
  <si>
    <t>p eta-sq</t>
  </si>
  <si>
    <t>Between</t>
  </si>
  <si>
    <t>Within</t>
  </si>
  <si>
    <t>Real Statistics Using Excel</t>
  </si>
  <si>
    <t>Updated</t>
  </si>
  <si>
    <t>Copyright © 2013 - 2022 Charles Zaiontz</t>
  </si>
  <si>
    <t>ANOVA approach to ANCOVA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</si>
</sst>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5" fillId="0" borderId="0" xfId="0" applyFont="1"/>
    <xf numFmtId="0" fontId="0" fillId="0" borderId="16" xfId="0" applyBorder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A%20Real%20Statistics%202020/Examples/Real%20Statistics%20Examples%20ANOVA%202%2029%20Januar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0"/>
      <sheetName val="TOC"/>
      <sheetName val="Rand Anova"/>
      <sheetName val="Mixed"/>
      <sheetName val="Rand Anova 2"/>
      <sheetName val="Nested"/>
      <sheetName val="Nested 1 "/>
      <sheetName val="Nested 1a"/>
      <sheetName val="Nested 2"/>
      <sheetName val="RCBD"/>
      <sheetName val="RCBD 1"/>
      <sheetName val="RCBD 2"/>
      <sheetName val="RCBD 3"/>
      <sheetName val="RCBD 3A"/>
      <sheetName val="RCBD 4"/>
      <sheetName val="RCBD 5"/>
      <sheetName val="RCBD 6"/>
      <sheetName val="RCBD 7"/>
      <sheetName val="RCBD 8"/>
      <sheetName val="RCBD 9"/>
      <sheetName val="RCBD 10"/>
      <sheetName val="Split 1"/>
      <sheetName val="Split 2"/>
      <sheetName val="Split 3"/>
      <sheetName val="Split 4"/>
      <sheetName val="Split 5"/>
      <sheetName val="Latin"/>
      <sheetName val="Latin 1"/>
      <sheetName val="Latin 2"/>
      <sheetName val="Latin 3"/>
      <sheetName val="Latin 4"/>
      <sheetName val="Latin 5"/>
      <sheetName val="Fact 1"/>
      <sheetName val="Fact 2"/>
      <sheetName val="Fact 3"/>
      <sheetName val="Fact 4"/>
      <sheetName val="Fact 5"/>
      <sheetName val="Fact 6"/>
      <sheetName val="Fact 7"/>
      <sheetName val="ANOVA Match 1.1"/>
      <sheetName val="ANOVA Match 1.2"/>
      <sheetName val="ANOVA Match 1.2a"/>
      <sheetName val="ANOVA Match 1.3"/>
      <sheetName val="ANOVA Match 1.3a"/>
      <sheetName val="ANOVA Match 1.4"/>
      <sheetName val="ANOVA Match 1.5"/>
      <sheetName val="ANOVA Match 1.6"/>
      <sheetName val="ANOVA Match 2.1"/>
      <sheetName val="ANOVA Match 2.1a"/>
      <sheetName val="ANOVA Match 2.2"/>
      <sheetName val="ANOVA Match 2.3"/>
      <sheetName val="ANOVA Match 2.3A"/>
      <sheetName val="ANOVA Match 2.3B"/>
      <sheetName val="ANOVA Match 2.4"/>
      <sheetName val="ANOVA Match 2.5"/>
      <sheetName val="ANOVA Match 2.5A"/>
      <sheetName val="ANOVA Match 2.5B"/>
      <sheetName val="ANOVA Match 3A"/>
      <sheetName val="ANOVA Match 3B"/>
      <sheetName val="Friedman"/>
      <sheetName val="Friedman 1"/>
      <sheetName val="Cochran 1"/>
      <sheetName val="Cochran 2"/>
      <sheetName val="ANCOVA 1"/>
      <sheetName val="ANCOVA 2"/>
      <sheetName val="ANCOVA 3"/>
      <sheetName val="ANCOVA 4"/>
      <sheetName val="ANCOVA Contrasts"/>
      <sheetName val="ANCOVA Tukey"/>
      <sheetName val="ANCOVA Std"/>
      <sheetName val="ANCOVA Std 1"/>
      <sheetName val="ANCOVA A"/>
      <sheetName val="ANCOVA B"/>
      <sheetName val="ANCOVA C"/>
      <sheetName val="ANCOVA D"/>
      <sheetName val="ANCOVA E"/>
      <sheetName val="ANCOVA F"/>
      <sheetName val="ANCOVA G"/>
      <sheetName val="ANCOVA H"/>
      <sheetName val="ICC1"/>
      <sheetName val="ICC1a"/>
      <sheetName val="ICC2"/>
      <sheetName val="ICC3"/>
      <sheetName val="ICC4"/>
      <sheetName val="ICC5"/>
      <sheetName val="Stud. Q Table"/>
      <sheetName val="Stud. Q Table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>
        <row r="5">
          <cell r="N5" t="str">
            <v>Method 1</v>
          </cell>
          <cell r="O5" t="str">
            <v>Method 2</v>
          </cell>
          <cell r="P5" t="str">
            <v>Method 3</v>
          </cell>
          <cell r="Q5" t="str">
            <v>Method 4</v>
          </cell>
        </row>
        <row r="6">
          <cell r="M6" t="str">
            <v>Min</v>
          </cell>
          <cell r="N6">
            <v>8</v>
          </cell>
          <cell r="O6">
            <v>13</v>
          </cell>
          <cell r="P6">
            <v>9</v>
          </cell>
          <cell r="Q6">
            <v>7</v>
          </cell>
          <cell r="T6">
            <v>17.5</v>
          </cell>
          <cell r="U6">
            <v>12</v>
          </cell>
          <cell r="V6">
            <v>70.8</v>
          </cell>
          <cell r="W6">
            <v>45</v>
          </cell>
          <cell r="X6">
            <v>71.400000000000006</v>
          </cell>
          <cell r="Y6">
            <v>20</v>
          </cell>
          <cell r="Z6">
            <v>35</v>
          </cell>
          <cell r="AA6">
            <v>12</v>
          </cell>
        </row>
        <row r="7">
          <cell r="M7" t="str">
            <v>Q1-Min</v>
          </cell>
          <cell r="N7">
            <v>6.25</v>
          </cell>
          <cell r="O7">
            <v>16</v>
          </cell>
          <cell r="P7">
            <v>4.5</v>
          </cell>
          <cell r="Q7">
            <v>3.5</v>
          </cell>
          <cell r="T7">
            <v>104.60000000000001</v>
          </cell>
          <cell r="U7">
            <v>39</v>
          </cell>
          <cell r="V7">
            <v>45.9</v>
          </cell>
          <cell r="W7">
            <v>37</v>
          </cell>
          <cell r="X7">
            <v>55</v>
          </cell>
          <cell r="Y7">
            <v>42</v>
          </cell>
          <cell r="Z7">
            <v>33</v>
          </cell>
          <cell r="AA7">
            <v>10</v>
          </cell>
        </row>
        <row r="8">
          <cell r="M8" t="str">
            <v>Med-Q1</v>
          </cell>
          <cell r="N8">
            <v>6.75</v>
          </cell>
          <cell r="O8">
            <v>7</v>
          </cell>
          <cell r="P8">
            <v>7</v>
          </cell>
          <cell r="Q8">
            <v>5.5</v>
          </cell>
          <cell r="T8">
            <v>64.7</v>
          </cell>
          <cell r="U8">
            <v>36</v>
          </cell>
          <cell r="V8">
            <v>47.5</v>
          </cell>
          <cell r="W8">
            <v>13</v>
          </cell>
          <cell r="X8">
            <v>54</v>
          </cell>
          <cell r="Y8">
            <v>31</v>
          </cell>
          <cell r="Z8">
            <v>34.200000000000003</v>
          </cell>
          <cell r="AA8">
            <v>19</v>
          </cell>
        </row>
        <row r="9">
          <cell r="M9" t="str">
            <v>Q3-Med</v>
          </cell>
          <cell r="N9">
            <v>11.25</v>
          </cell>
          <cell r="O9">
            <v>5.25</v>
          </cell>
          <cell r="P9">
            <v>8.75</v>
          </cell>
          <cell r="Q9">
            <v>3</v>
          </cell>
          <cell r="T9">
            <v>47</v>
          </cell>
          <cell r="U9">
            <v>17</v>
          </cell>
          <cell r="V9">
            <v>77.8</v>
          </cell>
          <cell r="W9">
            <v>50</v>
          </cell>
          <cell r="X9">
            <v>27.9</v>
          </cell>
          <cell r="Y9">
            <v>24</v>
          </cell>
          <cell r="Z9">
            <v>43.2</v>
          </cell>
          <cell r="AA9">
            <v>18</v>
          </cell>
        </row>
        <row r="10">
          <cell r="N10">
            <v>6.75</v>
          </cell>
          <cell r="O10">
            <v>8.75</v>
          </cell>
          <cell r="P10">
            <v>12.75</v>
          </cell>
          <cell r="Q10">
            <v>7</v>
          </cell>
          <cell r="T10">
            <v>22</v>
          </cell>
          <cell r="U10">
            <v>25</v>
          </cell>
          <cell r="V10">
            <v>70.900000000000006</v>
          </cell>
          <cell r="W10">
            <v>35</v>
          </cell>
          <cell r="X10">
            <v>40.599999999999994</v>
          </cell>
          <cell r="Y10">
            <v>15</v>
          </cell>
          <cell r="Z10">
            <v>20</v>
          </cell>
          <cell r="AA10">
            <v>14</v>
          </cell>
        </row>
        <row r="11">
          <cell r="T11">
            <v>12.4</v>
          </cell>
          <cell r="U11">
            <v>15</v>
          </cell>
          <cell r="V11">
            <v>84.8</v>
          </cell>
          <cell r="W11">
            <v>40</v>
          </cell>
          <cell r="X11">
            <v>33</v>
          </cell>
          <cell r="Y11">
            <v>13</v>
          </cell>
          <cell r="Z11">
            <v>37</v>
          </cell>
          <cell r="AA11">
            <v>8</v>
          </cell>
        </row>
        <row r="12">
          <cell r="T12">
            <v>20</v>
          </cell>
          <cell r="U12">
            <v>8</v>
          </cell>
          <cell r="V12">
            <v>49.8</v>
          </cell>
          <cell r="W12">
            <v>33</v>
          </cell>
          <cell r="X12">
            <v>22.2</v>
          </cell>
          <cell r="Y12">
            <v>9</v>
          </cell>
          <cell r="Z12">
            <v>28.2</v>
          </cell>
          <cell r="AA12">
            <v>7</v>
          </cell>
        </row>
        <row r="13">
          <cell r="T13">
            <v>79.7</v>
          </cell>
          <cell r="U13">
            <v>31</v>
          </cell>
          <cell r="V13">
            <v>34.599999999999994</v>
          </cell>
          <cell r="W13">
            <v>17</v>
          </cell>
          <cell r="X13">
            <v>80.5</v>
          </cell>
          <cell r="Y13">
            <v>21</v>
          </cell>
          <cell r="Z13">
            <v>46.400000000000006</v>
          </cell>
          <cell r="AA13">
            <v>19</v>
          </cell>
        </row>
        <row r="14">
          <cell r="X14">
            <v>80</v>
          </cell>
          <cell r="Y14">
            <v>31</v>
          </cell>
          <cell r="Z14">
            <v>64.900000000000006</v>
          </cell>
          <cell r="AA14">
            <v>25</v>
          </cell>
        </row>
        <row r="15">
          <cell r="X15">
            <v>41</v>
          </cell>
          <cell r="Y15">
            <v>13</v>
          </cell>
          <cell r="Z15">
            <v>59.4</v>
          </cell>
          <cell r="AA15">
            <v>26</v>
          </cell>
        </row>
      </sheetData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2">
          <cell r="B2">
            <v>38.099999999999994</v>
          </cell>
          <cell r="C2">
            <v>30</v>
          </cell>
        </row>
        <row r="3">
          <cell r="B3">
            <v>56.1</v>
          </cell>
          <cell r="C3">
            <v>55</v>
          </cell>
        </row>
        <row r="4">
          <cell r="B4">
            <v>26.9</v>
          </cell>
          <cell r="C4">
            <v>10</v>
          </cell>
        </row>
        <row r="5">
          <cell r="B5">
            <v>33.200000000000003</v>
          </cell>
          <cell r="C5">
            <v>40</v>
          </cell>
        </row>
        <row r="6">
          <cell r="B6">
            <v>60.699999999999996</v>
          </cell>
          <cell r="C6">
            <v>31</v>
          </cell>
        </row>
        <row r="7">
          <cell r="B7">
            <v>76.599999999999994</v>
          </cell>
          <cell r="C7">
            <v>62</v>
          </cell>
        </row>
        <row r="8">
          <cell r="B8">
            <v>91.6</v>
          </cell>
          <cell r="C8">
            <v>77</v>
          </cell>
        </row>
        <row r="9">
          <cell r="B9">
            <v>56.5</v>
          </cell>
          <cell r="C9">
            <v>58</v>
          </cell>
        </row>
        <row r="10">
          <cell r="B10">
            <v>141.30000000000001</v>
          </cell>
          <cell r="C10">
            <v>59</v>
          </cell>
        </row>
        <row r="11">
          <cell r="B11">
            <v>119.8</v>
          </cell>
          <cell r="C11">
            <v>49</v>
          </cell>
        </row>
        <row r="12">
          <cell r="B12">
            <v>90.6</v>
          </cell>
          <cell r="C12">
            <v>26</v>
          </cell>
        </row>
        <row r="13">
          <cell r="B13">
            <v>66.100000000000009</v>
          </cell>
          <cell r="C13">
            <v>16</v>
          </cell>
        </row>
        <row r="14">
          <cell r="B14">
            <v>126.7</v>
          </cell>
          <cell r="C14">
            <v>46</v>
          </cell>
        </row>
        <row r="15">
          <cell r="B15">
            <v>105.2</v>
          </cell>
          <cell r="C15">
            <v>35</v>
          </cell>
        </row>
        <row r="16">
          <cell r="B16">
            <v>55</v>
          </cell>
          <cell r="C16">
            <v>11</v>
          </cell>
        </row>
        <row r="17">
          <cell r="B17">
            <v>64.599999999999994</v>
          </cell>
          <cell r="C17">
            <v>19</v>
          </cell>
        </row>
        <row r="18">
          <cell r="B18">
            <v>79.599999999999994</v>
          </cell>
          <cell r="C18">
            <v>33</v>
          </cell>
        </row>
        <row r="19">
          <cell r="B19">
            <v>102.2</v>
          </cell>
          <cell r="C19">
            <v>41</v>
          </cell>
        </row>
        <row r="20">
          <cell r="B20">
            <v>65.8</v>
          </cell>
          <cell r="C20">
            <v>25</v>
          </cell>
        </row>
        <row r="21">
          <cell r="B21">
            <v>46.699999999999996</v>
          </cell>
          <cell r="C21">
            <v>11</v>
          </cell>
        </row>
        <row r="22">
          <cell r="B22">
            <v>82.7</v>
          </cell>
          <cell r="C22">
            <v>42</v>
          </cell>
        </row>
        <row r="23">
          <cell r="B23">
            <v>122.5</v>
          </cell>
          <cell r="C23">
            <v>72</v>
          </cell>
        </row>
        <row r="24">
          <cell r="B24">
            <v>60.4</v>
          </cell>
          <cell r="C24">
            <v>24</v>
          </cell>
        </row>
        <row r="25">
          <cell r="B25">
            <v>51.1</v>
          </cell>
          <cell r="C25">
            <v>25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63232-C468-46E2-845A-04AD83CC80B8}">
  <sheetPr codeName="Sheet1"/>
  <dimension ref="A1:B6"/>
  <sheetViews>
    <sheetView tabSelected="1" workbookViewId="0"/>
  </sheetViews>
  <sheetFormatPr defaultRowHeight="14.5" x14ac:dyDescent="0.35"/>
  <cols>
    <col min="2" max="2" width="8.90625" bestFit="1" customWidth="1"/>
  </cols>
  <sheetData>
    <row r="1" spans="1:2" x14ac:dyDescent="0.35">
      <c r="A1" t="s">
        <v>52</v>
      </c>
    </row>
    <row r="2" spans="1:2" x14ac:dyDescent="0.35">
      <c r="A2" t="s">
        <v>55</v>
      </c>
    </row>
    <row r="4" spans="1:2" x14ac:dyDescent="0.35">
      <c r="A4" t="s">
        <v>53</v>
      </c>
      <c r="B4" s="21">
        <v>44723</v>
      </c>
    </row>
    <row r="6" spans="1:2" x14ac:dyDescent="0.35">
      <c r="A6" s="19" t="s">
        <v>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86688-0ED2-4600-BFB5-FD4CC6751FF2}">
  <sheetPr codeName="Sheet187"/>
  <dimension ref="A1:AA57"/>
  <sheetViews>
    <sheetView workbookViewId="0"/>
  </sheetViews>
  <sheetFormatPr defaultRowHeight="14.5" x14ac:dyDescent="0.35"/>
  <cols>
    <col min="1" max="1" width="5.81640625" customWidth="1"/>
    <col min="2" max="5" width="10.1796875" customWidth="1"/>
    <col min="6" max="6" width="10.7265625" customWidth="1"/>
    <col min="7" max="11" width="10.1796875" customWidth="1"/>
    <col min="13" max="13" width="17.26953125" customWidth="1"/>
    <col min="18" max="18" width="9.1796875" customWidth="1"/>
    <col min="21" max="21" width="16.7265625" customWidth="1"/>
    <col min="27" max="27" width="8.7265625" customWidth="1"/>
  </cols>
  <sheetData>
    <row r="1" spans="1:27" x14ac:dyDescent="0.35">
      <c r="A1" s="1" t="s">
        <v>20</v>
      </c>
    </row>
    <row r="3" spans="1:27" ht="15" thickBot="1" x14ac:dyDescent="0.4">
      <c r="B3" t="s">
        <v>21</v>
      </c>
      <c r="G3" t="s">
        <v>22</v>
      </c>
      <c r="M3" t="s">
        <v>23</v>
      </c>
      <c r="U3" t="s">
        <v>24</v>
      </c>
    </row>
    <row r="4" spans="1:27" x14ac:dyDescent="0.35">
      <c r="M4" s="10" t="s">
        <v>14</v>
      </c>
      <c r="N4" s="10" t="s">
        <v>8</v>
      </c>
      <c r="O4" s="10" t="s">
        <v>7</v>
      </c>
      <c r="P4" s="10" t="s">
        <v>9</v>
      </c>
      <c r="Q4" s="10" t="s">
        <v>10</v>
      </c>
      <c r="R4" s="10" t="s">
        <v>16</v>
      </c>
      <c r="S4" s="10" t="s">
        <v>25</v>
      </c>
    </row>
    <row r="5" spans="1:27" ht="15" thickBot="1" x14ac:dyDescent="0.4">
      <c r="B5" s="2" t="s">
        <v>1</v>
      </c>
      <c r="C5" s="2" t="s">
        <v>2</v>
      </c>
      <c r="D5" s="2" t="s">
        <v>3</v>
      </c>
      <c r="E5" s="3" t="s">
        <v>4</v>
      </c>
      <c r="G5" s="2" t="s">
        <v>1</v>
      </c>
      <c r="H5" s="2" t="s">
        <v>2</v>
      </c>
      <c r="I5" s="2" t="s">
        <v>3</v>
      </c>
      <c r="J5" s="3" t="s">
        <v>4</v>
      </c>
      <c r="K5" s="4"/>
      <c r="M5" t="s">
        <v>26</v>
      </c>
      <c r="N5">
        <v>1455.0138888888878</v>
      </c>
      <c r="O5">
        <v>3</v>
      </c>
      <c r="P5">
        <v>485.00462962962928</v>
      </c>
      <c r="Q5">
        <v>4.5026721735334574</v>
      </c>
      <c r="R5">
        <v>9.5805875705778556E-3</v>
      </c>
      <c r="S5">
        <v>2.9011195838408388</v>
      </c>
      <c r="U5" t="s">
        <v>27</v>
      </c>
    </row>
    <row r="6" spans="1:27" x14ac:dyDescent="0.35">
      <c r="B6">
        <v>12</v>
      </c>
      <c r="C6">
        <v>45</v>
      </c>
      <c r="D6">
        <v>20</v>
      </c>
      <c r="E6">
        <v>12</v>
      </c>
      <c r="G6">
        <v>17.5</v>
      </c>
      <c r="H6">
        <v>70.8</v>
      </c>
      <c r="I6">
        <v>71.400000000000006</v>
      </c>
      <c r="J6">
        <v>35</v>
      </c>
      <c r="M6" t="s">
        <v>28</v>
      </c>
      <c r="N6">
        <v>3446.875</v>
      </c>
      <c r="O6">
        <v>32</v>
      </c>
      <c r="P6">
        <v>107.71484375</v>
      </c>
      <c r="U6" s="10" t="s">
        <v>29</v>
      </c>
      <c r="V6" s="10" t="s">
        <v>30</v>
      </c>
      <c r="W6" s="10" t="s">
        <v>31</v>
      </c>
      <c r="X6" s="10" t="s">
        <v>32</v>
      </c>
      <c r="Y6" s="10" t="s">
        <v>33</v>
      </c>
    </row>
    <row r="7" spans="1:27" x14ac:dyDescent="0.35">
      <c r="B7">
        <v>39</v>
      </c>
      <c r="C7">
        <v>37</v>
      </c>
      <c r="D7">
        <v>42</v>
      </c>
      <c r="E7">
        <v>10</v>
      </c>
      <c r="G7">
        <v>104.60000000000001</v>
      </c>
      <c r="H7">
        <v>45.9</v>
      </c>
      <c r="I7">
        <v>55</v>
      </c>
      <c r="J7">
        <v>33</v>
      </c>
      <c r="U7" t="s">
        <v>1</v>
      </c>
      <c r="V7">
        <v>8</v>
      </c>
      <c r="W7">
        <v>183</v>
      </c>
      <c r="X7">
        <v>22.875</v>
      </c>
      <c r="Y7">
        <v>134.125</v>
      </c>
    </row>
    <row r="8" spans="1:27" ht="15" thickBot="1" x14ac:dyDescent="0.4">
      <c r="B8">
        <v>36</v>
      </c>
      <c r="C8">
        <v>13</v>
      </c>
      <c r="D8">
        <v>31</v>
      </c>
      <c r="E8">
        <v>19</v>
      </c>
      <c r="G8">
        <v>64.7</v>
      </c>
      <c r="H8">
        <v>47.5</v>
      </c>
      <c r="I8">
        <v>54</v>
      </c>
      <c r="J8">
        <v>34.200000000000003</v>
      </c>
      <c r="M8" s="14" t="s">
        <v>11</v>
      </c>
      <c r="N8" s="14">
        <v>4901.8888888888878</v>
      </c>
      <c r="O8" s="14">
        <v>35</v>
      </c>
      <c r="P8" s="14"/>
      <c r="Q8" s="14"/>
      <c r="R8" s="14"/>
      <c r="S8" s="14"/>
      <c r="U8" t="s">
        <v>2</v>
      </c>
      <c r="V8">
        <v>8</v>
      </c>
      <c r="W8">
        <v>270</v>
      </c>
      <c r="X8">
        <v>33.75</v>
      </c>
      <c r="Y8">
        <v>164.78571428571428</v>
      </c>
    </row>
    <row r="9" spans="1:27" x14ac:dyDescent="0.35">
      <c r="B9">
        <v>17</v>
      </c>
      <c r="C9">
        <v>50</v>
      </c>
      <c r="D9">
        <v>24</v>
      </c>
      <c r="E9">
        <v>18</v>
      </c>
      <c r="G9">
        <v>47</v>
      </c>
      <c r="H9">
        <v>77.8</v>
      </c>
      <c r="I9">
        <v>27.9</v>
      </c>
      <c r="J9">
        <v>43.2</v>
      </c>
      <c r="U9" t="s">
        <v>3</v>
      </c>
      <c r="V9">
        <v>10</v>
      </c>
      <c r="W9">
        <v>219</v>
      </c>
      <c r="X9">
        <v>21.9</v>
      </c>
      <c r="Y9">
        <v>105.65555555555551</v>
      </c>
    </row>
    <row r="10" spans="1:27" ht="15" thickBot="1" x14ac:dyDescent="0.4">
      <c r="B10">
        <v>25</v>
      </c>
      <c r="C10">
        <v>35</v>
      </c>
      <c r="D10">
        <v>15</v>
      </c>
      <c r="E10">
        <v>14</v>
      </c>
      <c r="G10">
        <v>22</v>
      </c>
      <c r="H10">
        <v>70.900000000000006</v>
      </c>
      <c r="I10">
        <v>40.599999999999994</v>
      </c>
      <c r="J10">
        <v>20</v>
      </c>
      <c r="U10" s="14" t="s">
        <v>4</v>
      </c>
      <c r="V10" s="14">
        <v>10</v>
      </c>
      <c r="W10" s="14">
        <v>158</v>
      </c>
      <c r="X10" s="14">
        <v>15.8</v>
      </c>
      <c r="Y10" s="14">
        <v>44.844444444444434</v>
      </c>
    </row>
    <row r="11" spans="1:27" ht="15" thickBot="1" x14ac:dyDescent="0.4">
      <c r="B11">
        <v>15</v>
      </c>
      <c r="C11">
        <v>40</v>
      </c>
      <c r="D11">
        <v>13</v>
      </c>
      <c r="E11">
        <v>8</v>
      </c>
      <c r="G11">
        <v>12.4</v>
      </c>
      <c r="H11">
        <v>84.8</v>
      </c>
      <c r="I11">
        <v>33</v>
      </c>
      <c r="J11">
        <v>37</v>
      </c>
      <c r="M11" t="s">
        <v>34</v>
      </c>
    </row>
    <row r="12" spans="1:27" x14ac:dyDescent="0.35">
      <c r="B12">
        <v>8</v>
      </c>
      <c r="C12">
        <v>33</v>
      </c>
      <c r="D12">
        <v>9</v>
      </c>
      <c r="E12">
        <v>7</v>
      </c>
      <c r="G12">
        <v>20</v>
      </c>
      <c r="H12">
        <v>49.8</v>
      </c>
      <c r="I12">
        <v>22.2</v>
      </c>
      <c r="J12">
        <v>28.2</v>
      </c>
      <c r="M12" s="10" t="s">
        <v>14</v>
      </c>
      <c r="N12" s="10" t="s">
        <v>8</v>
      </c>
      <c r="O12" s="10" t="s">
        <v>7</v>
      </c>
      <c r="P12" s="10" t="s">
        <v>9</v>
      </c>
      <c r="Q12" s="10" t="s">
        <v>10</v>
      </c>
      <c r="R12" s="10" t="s">
        <v>16</v>
      </c>
      <c r="S12" s="10" t="s">
        <v>25</v>
      </c>
    </row>
    <row r="13" spans="1:27" ht="15" thickBot="1" x14ac:dyDescent="0.4">
      <c r="B13">
        <v>31</v>
      </c>
      <c r="C13">
        <v>17</v>
      </c>
      <c r="D13">
        <v>21</v>
      </c>
      <c r="E13">
        <v>19</v>
      </c>
      <c r="G13">
        <v>79.7</v>
      </c>
      <c r="H13">
        <v>34.599999999999994</v>
      </c>
      <c r="I13">
        <v>80.5</v>
      </c>
      <c r="J13">
        <v>46.400000000000006</v>
      </c>
      <c r="M13" t="s">
        <v>26</v>
      </c>
      <c r="N13">
        <v>1897.0572222222163</v>
      </c>
      <c r="O13">
        <v>3</v>
      </c>
      <c r="P13">
        <v>632.35240740740539</v>
      </c>
      <c r="Q13">
        <v>1.2542356704784621</v>
      </c>
      <c r="R13">
        <v>0.30655018520822608</v>
      </c>
      <c r="S13">
        <v>2.9011195838408388</v>
      </c>
      <c r="U13" t="s">
        <v>13</v>
      </c>
    </row>
    <row r="14" spans="1:27" x14ac:dyDescent="0.35">
      <c r="D14">
        <v>31</v>
      </c>
      <c r="E14">
        <v>25</v>
      </c>
      <c r="I14">
        <v>80</v>
      </c>
      <c r="J14">
        <v>64.900000000000006</v>
      </c>
      <c r="M14" t="s">
        <v>28</v>
      </c>
      <c r="N14">
        <v>16133.552500000003</v>
      </c>
      <c r="O14">
        <v>32</v>
      </c>
      <c r="P14">
        <v>504.17351562500011</v>
      </c>
      <c r="U14" s="10" t="s">
        <v>14</v>
      </c>
      <c r="V14" s="10" t="s">
        <v>8</v>
      </c>
      <c r="W14" s="10" t="s">
        <v>7</v>
      </c>
      <c r="X14" s="10" t="s">
        <v>9</v>
      </c>
      <c r="Y14" s="10" t="s">
        <v>10</v>
      </c>
      <c r="Z14" s="10" t="s">
        <v>16</v>
      </c>
      <c r="AA14" s="10" t="s">
        <v>25</v>
      </c>
    </row>
    <row r="15" spans="1:27" x14ac:dyDescent="0.35">
      <c r="B15" s="7"/>
      <c r="C15" s="7"/>
      <c r="D15" s="7">
        <v>13</v>
      </c>
      <c r="E15" s="7">
        <v>26</v>
      </c>
      <c r="G15" s="7"/>
      <c r="H15" s="7"/>
      <c r="I15" s="7">
        <v>41</v>
      </c>
      <c r="J15" s="7">
        <v>59.4</v>
      </c>
      <c r="U15" t="s">
        <v>26</v>
      </c>
      <c r="V15">
        <v>1455.0138888888878</v>
      </c>
      <c r="W15">
        <v>3</v>
      </c>
      <c r="X15">
        <v>485.00462962962928</v>
      </c>
      <c r="Y15">
        <v>4.5026721735334574</v>
      </c>
      <c r="Z15">
        <v>9.5805875705778556E-3</v>
      </c>
      <c r="AA15">
        <v>2.9011195838408388</v>
      </c>
    </row>
    <row r="16" spans="1:27" ht="15" thickBot="1" x14ac:dyDescent="0.4">
      <c r="A16" t="s">
        <v>5</v>
      </c>
      <c r="B16">
        <f>AVERAGE(B6:B15)</f>
        <v>22.875</v>
      </c>
      <c r="C16">
        <f>AVERAGE(C6:C15)</f>
        <v>33.75</v>
      </c>
      <c r="D16">
        <f>AVERAGE(D6:D15)</f>
        <v>21.9</v>
      </c>
      <c r="E16">
        <f>AVERAGE(E6:E15)</f>
        <v>15.8</v>
      </c>
      <c r="G16">
        <f>AVERAGE(G6:G15)</f>
        <v>45.987499999999997</v>
      </c>
      <c r="H16">
        <f>AVERAGE(H6:H15)</f>
        <v>60.262500000000003</v>
      </c>
      <c r="I16">
        <f>AVERAGE(I6:I15)</f>
        <v>50.559999999999995</v>
      </c>
      <c r="J16">
        <f>AVERAGE(J6:J15)</f>
        <v>40.129999999999995</v>
      </c>
      <c r="M16" s="14" t="s">
        <v>11</v>
      </c>
      <c r="N16" s="14">
        <v>18030.60972222222</v>
      </c>
      <c r="O16" s="14">
        <v>35</v>
      </c>
      <c r="P16" s="14"/>
      <c r="Q16" s="14"/>
      <c r="R16" s="14"/>
      <c r="S16" s="14"/>
      <c r="U16" t="s">
        <v>28</v>
      </c>
      <c r="V16">
        <v>3446.875</v>
      </c>
      <c r="W16">
        <v>32</v>
      </c>
      <c r="X16">
        <v>107.71484375</v>
      </c>
    </row>
    <row r="17" spans="1:27" x14ac:dyDescent="0.35">
      <c r="A17" t="s">
        <v>6</v>
      </c>
      <c r="B17" s="7">
        <f>VAR(B6:B15)</f>
        <v>134.125</v>
      </c>
      <c r="C17" s="7">
        <f>VAR(C6:C15)</f>
        <v>164.78571428571428</v>
      </c>
      <c r="D17" s="7">
        <f>VAR(D6:D15)</f>
        <v>105.65555555555551</v>
      </c>
      <c r="E17" s="7">
        <f>VAR(E6:E15)</f>
        <v>44.844444444444434</v>
      </c>
      <c r="G17" s="7">
        <f>VAR(G6:G15)</f>
        <v>1159.0783928571432</v>
      </c>
      <c r="H17" s="7">
        <f>VAR(H6:H15)</f>
        <v>324.43410714285659</v>
      </c>
      <c r="I17" s="7">
        <f>VAR(I6:I15)</f>
        <v>449.52044444444499</v>
      </c>
      <c r="J17" s="7">
        <f>VAR(J6:J15)</f>
        <v>189.25344444444514</v>
      </c>
    </row>
    <row r="18" spans="1:27" ht="15" thickBot="1" x14ac:dyDescent="0.4">
      <c r="U18" s="14" t="s">
        <v>11</v>
      </c>
      <c r="V18" s="14">
        <v>4901.8888888888878</v>
      </c>
      <c r="W18" s="14">
        <v>35</v>
      </c>
      <c r="X18" s="14"/>
      <c r="Y18" s="14"/>
      <c r="Z18" s="14"/>
      <c r="AA18" s="14"/>
    </row>
    <row r="19" spans="1:27" ht="15" thickBot="1" x14ac:dyDescent="0.4">
      <c r="G19" t="s">
        <v>35</v>
      </c>
      <c r="M19" t="s">
        <v>17</v>
      </c>
    </row>
    <row r="20" spans="1:27" x14ac:dyDescent="0.35">
      <c r="M20" s="10" t="s">
        <v>14</v>
      </c>
      <c r="N20" s="10" t="s">
        <v>8</v>
      </c>
      <c r="O20" s="10" t="s">
        <v>7</v>
      </c>
      <c r="P20" s="10" t="s">
        <v>9</v>
      </c>
      <c r="Q20" s="10" t="s">
        <v>10</v>
      </c>
      <c r="R20" s="10" t="s">
        <v>16</v>
      </c>
    </row>
    <row r="21" spans="1:27" x14ac:dyDescent="0.35">
      <c r="F21" t="s">
        <v>8</v>
      </c>
      <c r="G21" s="11">
        <f>DEVSQ(G6:G15)</f>
        <v>8113.5487500000008</v>
      </c>
      <c r="H21" s="12">
        <f>DEVSQ(H6:H15)</f>
        <v>2271.0387499999997</v>
      </c>
      <c r="I21" s="12">
        <f>DEVSQ(I6:I15)</f>
        <v>4045.6840000000007</v>
      </c>
      <c r="J21" s="15">
        <f>DEVSQ(J6:J15)</f>
        <v>1703.2810000000002</v>
      </c>
      <c r="K21">
        <f>SUM(G21:J21)</f>
        <v>16133.552500000003</v>
      </c>
      <c r="M21" t="s">
        <v>36</v>
      </c>
      <c r="N21">
        <f>N24-N22</f>
        <v>571.02988334509268</v>
      </c>
      <c r="O21">
        <f>O5</f>
        <v>3</v>
      </c>
      <c r="P21">
        <f>N21/O21</f>
        <v>190.34329444836422</v>
      </c>
      <c r="Q21">
        <f>P21/P22</f>
        <v>3.336481584501255</v>
      </c>
      <c r="R21">
        <f>FDIST(Q21,O21,O22)</f>
        <v>3.1940102263092449E-2</v>
      </c>
      <c r="U21" t="s">
        <v>37</v>
      </c>
    </row>
    <row r="22" spans="1:27" x14ac:dyDescent="0.35">
      <c r="F22" t="s">
        <v>38</v>
      </c>
      <c r="G22" s="5">
        <f>SLOPE(B6:B15,G6:G15)</f>
        <v>0.29192990305259459</v>
      </c>
      <c r="H22">
        <f>SLOPE(C6:C15,H6:H15)</f>
        <v>0.53985208310514299</v>
      </c>
      <c r="I22">
        <f>SLOPE(D6:D15,I6:I15)</f>
        <v>0.2348824080180261</v>
      </c>
      <c r="J22" s="6">
        <f>SLOPE(E6:E15,J6:J15)</f>
        <v>0.3867594366402255</v>
      </c>
      <c r="M22" t="s">
        <v>39</v>
      </c>
      <c r="N22">
        <f>N6-G25^2*N14</f>
        <v>1768.5223126389089</v>
      </c>
      <c r="O22">
        <f>O6-1</f>
        <v>31</v>
      </c>
      <c r="P22">
        <f>N22/O22</f>
        <v>57.049106859319643</v>
      </c>
    </row>
    <row r="23" spans="1:27" ht="15" thickBot="1" x14ac:dyDescent="0.4">
      <c r="F23" t="s">
        <v>40</v>
      </c>
      <c r="G23" s="8">
        <f>G21*G22</f>
        <v>2368.5875000000001</v>
      </c>
      <c r="H23" s="7">
        <f>H21*H22</f>
        <v>1226.0249999999999</v>
      </c>
      <c r="I23" s="7">
        <f>I21*I22</f>
        <v>950.26</v>
      </c>
      <c r="J23" s="9">
        <f>J21*J22</f>
        <v>658.76</v>
      </c>
      <c r="K23">
        <f>SUM(G23:J23)</f>
        <v>5203.6325000000006</v>
      </c>
      <c r="U23" t="s">
        <v>27</v>
      </c>
    </row>
    <row r="24" spans="1:27" ht="15" thickBot="1" x14ac:dyDescent="0.4">
      <c r="M24" s="14" t="s">
        <v>18</v>
      </c>
      <c r="N24" s="14">
        <f>N8-G26^2*N16</f>
        <v>2339.5521959840016</v>
      </c>
      <c r="O24" s="14">
        <f>O21+O22</f>
        <v>34</v>
      </c>
      <c r="P24" s="14"/>
      <c r="Q24" s="14"/>
      <c r="R24" s="14"/>
      <c r="U24" s="10" t="s">
        <v>29</v>
      </c>
      <c r="V24" s="10" t="s">
        <v>30</v>
      </c>
      <c r="W24" s="10" t="s">
        <v>31</v>
      </c>
      <c r="X24" s="10" t="s">
        <v>32</v>
      </c>
      <c r="Y24" s="10" t="s">
        <v>33</v>
      </c>
    </row>
    <row r="25" spans="1:27" ht="16.5" x14ac:dyDescent="0.45">
      <c r="F25" t="s">
        <v>41</v>
      </c>
      <c r="G25" s="20">
        <f>K23/K21</f>
        <v>0.32253482300317921</v>
      </c>
      <c r="U25" t="s">
        <v>1</v>
      </c>
      <c r="V25">
        <v>8</v>
      </c>
      <c r="W25">
        <v>367.9</v>
      </c>
      <c r="X25">
        <v>45.987499999999997</v>
      </c>
      <c r="Y25">
        <v>1159.0783928571432</v>
      </c>
    </row>
    <row r="26" spans="1:27" ht="16.5" x14ac:dyDescent="0.45">
      <c r="F26" t="s">
        <v>19</v>
      </c>
      <c r="G26" s="13">
        <f>SLOPE(B6:E15,G6:J15)</f>
        <v>0.37697529640759841</v>
      </c>
      <c r="U26" t="s">
        <v>2</v>
      </c>
      <c r="V26">
        <v>8</v>
      </c>
      <c r="W26">
        <v>482.1</v>
      </c>
      <c r="X26">
        <v>60.262500000000003</v>
      </c>
      <c r="Y26">
        <v>324.43410714285659</v>
      </c>
    </row>
    <row r="27" spans="1:27" ht="15" thickBot="1" x14ac:dyDescent="0.4">
      <c r="M27" t="s">
        <v>42</v>
      </c>
      <c r="U27" t="s">
        <v>3</v>
      </c>
      <c r="V27">
        <v>10</v>
      </c>
      <c r="W27">
        <v>505.59999999999997</v>
      </c>
      <c r="X27">
        <v>50.559999999999995</v>
      </c>
      <c r="Y27">
        <v>449.52044444444499</v>
      </c>
    </row>
    <row r="28" spans="1:27" ht="15" thickBot="1" x14ac:dyDescent="0.4">
      <c r="M28" s="10" t="s">
        <v>14</v>
      </c>
      <c r="N28" s="10" t="s">
        <v>8</v>
      </c>
      <c r="O28" s="10" t="s">
        <v>7</v>
      </c>
      <c r="P28" s="10" t="s">
        <v>9</v>
      </c>
      <c r="Q28" s="10" t="s">
        <v>10</v>
      </c>
      <c r="R28" s="10" t="s">
        <v>16</v>
      </c>
      <c r="U28" s="14" t="s">
        <v>4</v>
      </c>
      <c r="V28" s="14">
        <v>10</v>
      </c>
      <c r="W28" s="14">
        <v>401.29999999999995</v>
      </c>
      <c r="X28" s="14">
        <v>40.129999999999995</v>
      </c>
      <c r="Y28" s="14">
        <v>189.25344444444514</v>
      </c>
    </row>
    <row r="29" spans="1:27" x14ac:dyDescent="0.35">
      <c r="M29" t="s">
        <v>15</v>
      </c>
      <c r="N29">
        <f>G25*K23</f>
        <v>1678.3526873610911</v>
      </c>
      <c r="O29">
        <v>1</v>
      </c>
      <c r="P29">
        <f>N29/O29</f>
        <v>1678.3526873610911</v>
      </c>
      <c r="Q29">
        <f>P29/P31</f>
        <v>29.419438440987836</v>
      </c>
      <c r="R29">
        <f>FDIST(Q29,O29,O31)</f>
        <v>6.3670620361677544E-6</v>
      </c>
    </row>
    <row r="30" spans="1:27" x14ac:dyDescent="0.35">
      <c r="M30" t="s">
        <v>43</v>
      </c>
      <c r="N30">
        <f>N21</f>
        <v>571.02988334509268</v>
      </c>
      <c r="O30">
        <f>O21</f>
        <v>3</v>
      </c>
      <c r="P30">
        <f>N30/O30</f>
        <v>190.34329444836422</v>
      </c>
      <c r="Q30">
        <f>P30/P31</f>
        <v>3.336481584501255</v>
      </c>
      <c r="R30">
        <f>FDIST(Q30,O30,O31)</f>
        <v>3.1940102263092449E-2</v>
      </c>
    </row>
    <row r="31" spans="1:27" ht="15" thickBot="1" x14ac:dyDescent="0.4">
      <c r="M31" t="s">
        <v>39</v>
      </c>
      <c r="N31">
        <f>N22</f>
        <v>1768.5223126389089</v>
      </c>
      <c r="O31">
        <f>O22</f>
        <v>31</v>
      </c>
      <c r="P31">
        <f>N31/O31</f>
        <v>57.049106859319643</v>
      </c>
      <c r="U31" t="s">
        <v>13</v>
      </c>
    </row>
    <row r="32" spans="1:27" x14ac:dyDescent="0.35">
      <c r="U32" s="10" t="s">
        <v>14</v>
      </c>
      <c r="V32" s="10" t="s">
        <v>8</v>
      </c>
      <c r="W32" s="10" t="s">
        <v>7</v>
      </c>
      <c r="X32" s="10" t="s">
        <v>9</v>
      </c>
      <c r="Y32" s="10" t="s">
        <v>10</v>
      </c>
      <c r="Z32" s="10" t="s">
        <v>16</v>
      </c>
      <c r="AA32" s="10" t="s">
        <v>25</v>
      </c>
    </row>
    <row r="33" spans="13:27" ht="15" thickBot="1" x14ac:dyDescent="0.4">
      <c r="M33" s="14" t="s">
        <v>11</v>
      </c>
      <c r="N33" s="14">
        <f>N8</f>
        <v>4901.8888888888878</v>
      </c>
      <c r="O33" s="14">
        <f>O8</f>
        <v>35</v>
      </c>
      <c r="P33" s="14"/>
      <c r="Q33" s="14"/>
      <c r="R33" s="14"/>
      <c r="U33" t="s">
        <v>26</v>
      </c>
      <c r="V33">
        <v>1897.0572222222163</v>
      </c>
      <c r="W33">
        <v>3</v>
      </c>
      <c r="X33">
        <v>632.35240740740539</v>
      </c>
      <c r="Y33">
        <v>1.2542356704784621</v>
      </c>
      <c r="Z33">
        <v>0.30655018520822608</v>
      </c>
      <c r="AA33">
        <v>2.9011195838408388</v>
      </c>
    </row>
    <row r="34" spans="13:27" x14ac:dyDescent="0.35">
      <c r="U34" t="s">
        <v>28</v>
      </c>
      <c r="V34">
        <v>16133.552500000003</v>
      </c>
      <c r="W34">
        <v>32</v>
      </c>
      <c r="X34">
        <v>504.17351562500011</v>
      </c>
    </row>
    <row r="36" spans="13:27" ht="15" thickBot="1" x14ac:dyDescent="0.4">
      <c r="U36" s="14" t="s">
        <v>11</v>
      </c>
      <c r="V36" s="14">
        <v>18030.60972222222</v>
      </c>
      <c r="W36" s="14">
        <v>35</v>
      </c>
      <c r="X36" s="14"/>
      <c r="Y36" s="14"/>
      <c r="Z36" s="14"/>
      <c r="AA36" s="14"/>
    </row>
    <row r="56" spans="22:22" x14ac:dyDescent="0.35">
      <c r="V56" t="e">
        <f>#REF!</f>
        <v>#REF!</v>
      </c>
    </row>
    <row r="57" spans="22:22" x14ac:dyDescent="0.35">
      <c r="V57">
        <f>V15</f>
        <v>1455.0138888888878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7A4F4-43C5-4F02-BF69-77BB100CEEC4}">
  <sheetPr codeName="Sheet373"/>
  <dimension ref="A1:R17"/>
  <sheetViews>
    <sheetView workbookViewId="0"/>
  </sheetViews>
  <sheetFormatPr defaultRowHeight="14.5" x14ac:dyDescent="0.35"/>
  <cols>
    <col min="1" max="1" width="5.81640625" customWidth="1"/>
    <col min="2" max="5" width="10.1796875" customWidth="1"/>
    <col min="6" max="6" width="10.7265625" customWidth="1"/>
    <col min="7" max="11" width="10.1796875" customWidth="1"/>
  </cols>
  <sheetData>
    <row r="1" spans="1:18" x14ac:dyDescent="0.35">
      <c r="A1" s="1" t="s">
        <v>44</v>
      </c>
      <c r="L1" t="s">
        <v>45</v>
      </c>
    </row>
    <row r="3" spans="1:18" x14ac:dyDescent="0.35">
      <c r="B3" t="s">
        <v>21</v>
      </c>
      <c r="G3" t="s">
        <v>22</v>
      </c>
      <c r="M3" t="str">
        <f>B5</f>
        <v>Method 1</v>
      </c>
      <c r="N3" t="str">
        <f>C5</f>
        <v>Method 2</v>
      </c>
      <c r="O3" t="str">
        <f>D5</f>
        <v>Method 3</v>
      </c>
      <c r="P3" t="str">
        <f>E5</f>
        <v>Method 4</v>
      </c>
    </row>
    <row r="4" spans="1:18" x14ac:dyDescent="0.35">
      <c r="L4" t="s">
        <v>8</v>
      </c>
      <c r="M4" s="11">
        <f>DEVSQ(G6:G15)</f>
        <v>8113.5487500000008</v>
      </c>
      <c r="N4" s="12">
        <f>DEVSQ(H6:H15)</f>
        <v>2271.0387499999997</v>
      </c>
      <c r="O4" s="12">
        <f>DEVSQ(I6:I15)</f>
        <v>4045.6840000000007</v>
      </c>
      <c r="P4" s="15">
        <f>DEVSQ(J6:J15)</f>
        <v>1703.2810000000002</v>
      </c>
    </row>
    <row r="5" spans="1:18" x14ac:dyDescent="0.35">
      <c r="B5" s="2" t="s">
        <v>1</v>
      </c>
      <c r="C5" s="2" t="s">
        <v>2</v>
      </c>
      <c r="D5" s="2" t="s">
        <v>3</v>
      </c>
      <c r="E5" s="3" t="s">
        <v>4</v>
      </c>
      <c r="G5" s="2" t="s">
        <v>1</v>
      </c>
      <c r="H5" s="2" t="s">
        <v>2</v>
      </c>
      <c r="I5" s="2" t="s">
        <v>3</v>
      </c>
      <c r="J5" s="3" t="s">
        <v>4</v>
      </c>
      <c r="K5" s="4"/>
      <c r="L5" t="s">
        <v>38</v>
      </c>
      <c r="M5" s="5">
        <f>SLOPE(B6:B15,G6:G15)</f>
        <v>0.29192990305259459</v>
      </c>
      <c r="N5">
        <f>SLOPE(C6:C15,H6:H15)</f>
        <v>0.53985208310514299</v>
      </c>
      <c r="O5">
        <f>SLOPE(D6:D15,I6:I15)</f>
        <v>0.2348824080180261</v>
      </c>
      <c r="P5" s="6">
        <f>SLOPE(E6:E15,J6:J15)</f>
        <v>0.3867594366402255</v>
      </c>
    </row>
    <row r="6" spans="1:18" x14ac:dyDescent="0.35">
      <c r="B6">
        <v>12</v>
      </c>
      <c r="C6">
        <v>45</v>
      </c>
      <c r="D6">
        <v>20</v>
      </c>
      <c r="E6">
        <v>12</v>
      </c>
      <c r="G6">
        <v>17.5</v>
      </c>
      <c r="H6">
        <v>70.8</v>
      </c>
      <c r="I6">
        <v>71.400000000000006</v>
      </c>
      <c r="J6">
        <v>35</v>
      </c>
      <c r="L6" t="s">
        <v>46</v>
      </c>
      <c r="M6" s="8">
        <f>AVERAGE(B6:B15)-(AVERAGE(G6:G15)-AVERAGE($G$6:$J$15))*$M8</f>
        <v>23.783025119760342</v>
      </c>
      <c r="N6" s="7">
        <f>AVERAGE(C6:C15)-(AVERAGE(H6:H15)-AVERAGE($G$6:$J$15))*$M8</f>
        <v>30.053840521389958</v>
      </c>
      <c r="O6" s="7">
        <f>AVERAGE(D6:D15)-(AVERAGE(I6:I15)-AVERAGE($G$6:$J$15))*$M8</f>
        <v>21.333234641578304</v>
      </c>
      <c r="P6" s="9">
        <f>AVERAGE(E6:E15)-(AVERAGE(J6:J15)-AVERAGE($G$6:$J$15))*$M8</f>
        <v>18.597272845501465</v>
      </c>
    </row>
    <row r="7" spans="1:18" x14ac:dyDescent="0.35">
      <c r="B7">
        <v>39</v>
      </c>
      <c r="C7">
        <v>37</v>
      </c>
      <c r="D7">
        <v>42</v>
      </c>
      <c r="E7">
        <v>10</v>
      </c>
      <c r="G7">
        <v>104.60000000000001</v>
      </c>
      <c r="H7">
        <v>45.9</v>
      </c>
      <c r="I7">
        <v>55</v>
      </c>
      <c r="J7">
        <v>33</v>
      </c>
    </row>
    <row r="8" spans="1:18" x14ac:dyDescent="0.35">
      <c r="B8">
        <v>36</v>
      </c>
      <c r="C8">
        <v>13</v>
      </c>
      <c r="D8">
        <v>31</v>
      </c>
      <c r="E8">
        <v>19</v>
      </c>
      <c r="G8">
        <v>64.7</v>
      </c>
      <c r="H8">
        <v>47.5</v>
      </c>
      <c r="I8">
        <v>54</v>
      </c>
      <c r="J8">
        <v>34.200000000000003</v>
      </c>
      <c r="L8" t="s">
        <v>47</v>
      </c>
      <c r="M8" s="16">
        <f>SUM(SUMPRODUCT(M4:P4,M5:P5))/SUM(M4:P4)</f>
        <v>0.32253482300317921</v>
      </c>
    </row>
    <row r="9" spans="1:18" x14ac:dyDescent="0.35">
      <c r="B9">
        <v>17</v>
      </c>
      <c r="C9">
        <v>50</v>
      </c>
      <c r="D9">
        <v>24</v>
      </c>
      <c r="E9">
        <v>18</v>
      </c>
      <c r="G9">
        <v>47</v>
      </c>
      <c r="H9">
        <v>77.8</v>
      </c>
      <c r="I9">
        <v>27.9</v>
      </c>
      <c r="J9">
        <v>43.2</v>
      </c>
      <c r="L9" t="s">
        <v>48</v>
      </c>
      <c r="M9" s="17">
        <f>SLOPE(B6:E15,G6:J15)</f>
        <v>0.37697529640759841</v>
      </c>
    </row>
    <row r="10" spans="1:18" x14ac:dyDescent="0.35">
      <c r="B10">
        <v>25</v>
      </c>
      <c r="C10">
        <v>35</v>
      </c>
      <c r="D10">
        <v>15</v>
      </c>
      <c r="E10">
        <v>14</v>
      </c>
      <c r="G10">
        <v>22</v>
      </c>
      <c r="H10">
        <v>70.900000000000006</v>
      </c>
      <c r="I10">
        <v>40.599999999999994</v>
      </c>
      <c r="J10">
        <v>20</v>
      </c>
    </row>
    <row r="11" spans="1:18" ht="15" thickBot="1" x14ac:dyDescent="0.4">
      <c r="B11">
        <v>15</v>
      </c>
      <c r="C11">
        <v>40</v>
      </c>
      <c r="D11">
        <v>13</v>
      </c>
      <c r="E11">
        <v>8</v>
      </c>
      <c r="G11">
        <v>12.4</v>
      </c>
      <c r="H11">
        <v>84.8</v>
      </c>
      <c r="I11">
        <v>33</v>
      </c>
      <c r="J11">
        <v>37</v>
      </c>
      <c r="L11" t="s">
        <v>0</v>
      </c>
    </row>
    <row r="12" spans="1:18" ht="15" thickTop="1" x14ac:dyDescent="0.35">
      <c r="B12">
        <v>8</v>
      </c>
      <c r="C12">
        <v>33</v>
      </c>
      <c r="D12">
        <v>9</v>
      </c>
      <c r="E12">
        <v>7</v>
      </c>
      <c r="G12">
        <v>20</v>
      </c>
      <c r="H12">
        <v>49.8</v>
      </c>
      <c r="I12">
        <v>22.2</v>
      </c>
      <c r="J12">
        <v>28.2</v>
      </c>
      <c r="L12" s="18"/>
      <c r="M12" s="18" t="s">
        <v>8</v>
      </c>
      <c r="N12" s="18" t="s">
        <v>7</v>
      </c>
      <c r="O12" s="18" t="s">
        <v>9</v>
      </c>
      <c r="P12" s="18" t="s">
        <v>10</v>
      </c>
      <c r="Q12" s="18" t="s">
        <v>12</v>
      </c>
      <c r="R12" s="18" t="s">
        <v>49</v>
      </c>
    </row>
    <row r="13" spans="1:18" x14ac:dyDescent="0.35">
      <c r="B13">
        <v>31</v>
      </c>
      <c r="C13">
        <v>17</v>
      </c>
      <c r="D13">
        <v>21</v>
      </c>
      <c r="E13">
        <v>19</v>
      </c>
      <c r="G13">
        <v>79.7</v>
      </c>
      <c r="H13">
        <v>34.599999999999994</v>
      </c>
      <c r="I13">
        <v>80.5</v>
      </c>
      <c r="J13">
        <v>46.400000000000006</v>
      </c>
      <c r="L13" t="s">
        <v>15</v>
      </c>
      <c r="M13">
        <f>M8^2*SUM(M4:P4)</f>
        <v>1678.3526873610911</v>
      </c>
      <c r="N13">
        <v>1</v>
      </c>
      <c r="O13">
        <f>M13/N13</f>
        <v>1678.3526873610911</v>
      </c>
      <c r="P13" t="e">
        <f ca="1">O13/O15</f>
        <v>#NAME?</v>
      </c>
      <c r="Q13" t="e">
        <f ca="1">FDIST(P13,N13,N15)</f>
        <v>#NAME?</v>
      </c>
      <c r="R13" t="e">
        <f ca="1">M13/(M13+M15)</f>
        <v>#NAME?</v>
      </c>
    </row>
    <row r="14" spans="1:18" x14ac:dyDescent="0.35">
      <c r="D14">
        <v>31</v>
      </c>
      <c r="E14">
        <v>25</v>
      </c>
      <c r="I14">
        <v>80</v>
      </c>
      <c r="J14">
        <v>64.900000000000006</v>
      </c>
      <c r="L14" t="s">
        <v>50</v>
      </c>
      <c r="M14" t="e">
        <f ca="1">M16-M9^2*DEVSQ(G6:J15)-M15</f>
        <v>#NAME?</v>
      </c>
      <c r="N14">
        <f>COUNT(M5:P5)-1</f>
        <v>3</v>
      </c>
      <c r="O14" t="e">
        <f ca="1">M14/N14</f>
        <v>#NAME?</v>
      </c>
      <c r="P14" t="e">
        <f ca="1">O14/O15</f>
        <v>#NAME?</v>
      </c>
      <c r="Q14" t="e">
        <f ca="1">FDIST(P14,N14,N15)</f>
        <v>#NAME?</v>
      </c>
      <c r="R14" t="e">
        <f ca="1">M14/(M14+M15)</f>
        <v>#NAME?</v>
      </c>
    </row>
    <row r="15" spans="1:18" x14ac:dyDescent="0.35">
      <c r="B15" s="7"/>
      <c r="C15" s="7"/>
      <c r="D15" s="7">
        <v>13</v>
      </c>
      <c r="E15" s="7">
        <v>26</v>
      </c>
      <c r="G15" s="7"/>
      <c r="H15" s="7"/>
      <c r="I15" s="7">
        <v>41</v>
      </c>
      <c r="J15" s="7">
        <v>59.4</v>
      </c>
      <c r="L15" t="s">
        <v>51</v>
      </c>
      <c r="M15" t="e" cm="1">
        <f t="array" aca="1" ref="M15" ca="1">SUMPRODUCT(VARCOL(B6:E15),COUNTCOL(B6:E15)-1)-SUMPRODUCT(VARCOL(G6:J15),COUNTCOL(G6:J15)-1)*M8^2</f>
        <v>#NAME?</v>
      </c>
      <c r="N15">
        <f>N16-N13-N14</f>
        <v>31</v>
      </c>
      <c r="O15" t="e">
        <f ca="1">M15/N15</f>
        <v>#NAME?</v>
      </c>
    </row>
    <row r="16" spans="1:18" x14ac:dyDescent="0.35">
      <c r="A16" t="s">
        <v>5</v>
      </c>
      <c r="B16">
        <f>AVERAGE(B6:B15)</f>
        <v>22.875</v>
      </c>
      <c r="C16">
        <f>AVERAGE(C6:C15)</f>
        <v>33.75</v>
      </c>
      <c r="D16">
        <f>AVERAGE(D6:D15)</f>
        <v>21.9</v>
      </c>
      <c r="E16">
        <f>AVERAGE(E6:E15)</f>
        <v>15.8</v>
      </c>
      <c r="G16">
        <f>AVERAGE(G6:G15)</f>
        <v>45.987499999999997</v>
      </c>
      <c r="H16">
        <f>AVERAGE(H6:H15)</f>
        <v>60.262500000000003</v>
      </c>
      <c r="I16">
        <f>AVERAGE(I6:I15)</f>
        <v>50.559999999999995</v>
      </c>
      <c r="J16">
        <f>AVERAGE(J6:J15)</f>
        <v>40.129999999999995</v>
      </c>
      <c r="L16" s="7" t="s">
        <v>11</v>
      </c>
      <c r="M16" s="7">
        <f>DEVSQ(B6:E15)</f>
        <v>4901.8888888888878</v>
      </c>
      <c r="N16" s="7">
        <f>COUNT(B6:E15)-1</f>
        <v>35</v>
      </c>
      <c r="O16" s="7"/>
      <c r="P16" s="7"/>
      <c r="Q16" s="7"/>
      <c r="R16" s="7"/>
    </row>
    <row r="17" spans="1:10" x14ac:dyDescent="0.35">
      <c r="A17" t="s">
        <v>6</v>
      </c>
      <c r="B17" s="7">
        <f>VAR(B6:B15)</f>
        <v>134.125</v>
      </c>
      <c r="C17" s="7">
        <f>VAR(C6:C15)</f>
        <v>164.78571428571428</v>
      </c>
      <c r="D17" s="7">
        <f>VAR(D6:D15)</f>
        <v>105.65555555555551</v>
      </c>
      <c r="E17" s="7">
        <f>VAR(E6:E15)</f>
        <v>44.844444444444434</v>
      </c>
      <c r="G17" s="7">
        <f>VAR(G6:G15)</f>
        <v>1159.0783928571432</v>
      </c>
      <c r="H17" s="7">
        <f>VAR(H6:H15)</f>
        <v>324.43410714285659</v>
      </c>
      <c r="I17" s="7">
        <f>VAR(I6:I15)</f>
        <v>449.52044444444499</v>
      </c>
      <c r="J17" s="7">
        <f>VAR(J6:J15)</f>
        <v>189.25344444444514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ANCOVA</vt:lpstr>
      <vt:lpstr>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2022-06-11T09:20:52Z</dcterms:created>
  <dcterms:modified xsi:type="dcterms:W3CDTF">2022-06-11T09:50:27Z</dcterms:modified>
</cp:coreProperties>
</file>