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arles\Documents\A Real Statistics 2019\Examples\"/>
    </mc:Choice>
  </mc:AlternateContent>
  <bookViews>
    <workbookView xWindow="0" yWindow="0" windowWidth="20760" windowHeight="11190" tabRatio="805"/>
  </bookViews>
  <sheets>
    <sheet name="TOC0" sheetId="405" r:id="rId1"/>
    <sheet name="TOC" sheetId="1" r:id="rId2"/>
    <sheet name="Rand Anova" sheetId="595" r:id="rId3"/>
    <sheet name="Mixed" sheetId="592" r:id="rId4"/>
    <sheet name="Rand Anova 2" sheetId="600" r:id="rId5"/>
    <sheet name="Nested" sheetId="591" r:id="rId6"/>
    <sheet name="Nested 1 " sheetId="601" r:id="rId7"/>
    <sheet name="Nested 1a" sheetId="599" r:id="rId8"/>
    <sheet name="Nested 2" sheetId="597" r:id="rId9"/>
    <sheet name="RCBD" sheetId="742" r:id="rId10"/>
    <sheet name="RCBD 1" sheetId="741" r:id="rId11"/>
    <sheet name="RCBD 2" sheetId="812" r:id="rId12"/>
    <sheet name="RCBD 3" sheetId="811" r:id="rId13"/>
    <sheet name="RCBD 4" sheetId="810" r:id="rId14"/>
    <sheet name="RCBD 5" sheetId="809" r:id="rId15"/>
    <sheet name="RCBD 6" sheetId="814" r:id="rId16"/>
    <sheet name="RCBD 7" sheetId="813" r:id="rId17"/>
    <sheet name="RCBD 8" sheetId="815" r:id="rId18"/>
    <sheet name="RCBD 9" sheetId="816" r:id="rId19"/>
    <sheet name="Split 1" sheetId="817" r:id="rId20"/>
    <sheet name="Split 2" sheetId="818" r:id="rId21"/>
    <sheet name="Split 3" sheetId="819" r:id="rId22"/>
    <sheet name="Split 4" sheetId="820" r:id="rId23"/>
    <sheet name="Split 5" sheetId="821" r:id="rId24"/>
    <sheet name="Latin" sheetId="739" r:id="rId25"/>
    <sheet name="Latin 1" sheetId="738" r:id="rId26"/>
    <sheet name="Latin 2" sheetId="737" r:id="rId27"/>
    <sheet name="Latin 3" sheetId="822" r:id="rId28"/>
    <sheet name="Latin 4" sheetId="823" r:id="rId29"/>
    <sheet name="Latin 5" sheetId="824" r:id="rId30"/>
    <sheet name="ANOVA Match 1.1" sheetId="294" r:id="rId31"/>
    <sheet name="ANOVA Match 1.2" sheetId="296" r:id="rId32"/>
    <sheet name="ANOVA Match 1.2a" sheetId="826" r:id="rId33"/>
    <sheet name="ANOVA Match 1.3" sheetId="297" r:id="rId34"/>
    <sheet name="ANOVA Match 1.3a" sheetId="589" r:id="rId35"/>
    <sheet name="ANOVA Match 1.4" sheetId="298" r:id="rId36"/>
    <sheet name="ANOVA Match 1.5" sheetId="299" r:id="rId37"/>
    <sheet name="ANOVA Match 1.6" sheetId="723" r:id="rId38"/>
    <sheet name="ANOVA Match 2.1" sheetId="300" r:id="rId39"/>
    <sheet name="ANOVA Match 2.2" sheetId="301" r:id="rId40"/>
    <sheet name="ANOVA Match 2.3" sheetId="302" r:id="rId41"/>
    <sheet name="ANOVA Match 2.3A" sheetId="304" r:id="rId42"/>
    <sheet name="ANOVA Match 2.3B" sheetId="590" r:id="rId43"/>
    <sheet name="ANOVA Match 2.4" sheetId="303" r:id="rId44"/>
    <sheet name="ANOVA Match 2.5" sheetId="795" r:id="rId45"/>
    <sheet name="ANOVA Match 2.5A" sheetId="794" r:id="rId46"/>
    <sheet name="ANOVA Match 2.5B" sheetId="793" r:id="rId47"/>
    <sheet name="Friedman" sheetId="388" r:id="rId48"/>
    <sheet name="Friedman 1" sheetId="825" r:id="rId49"/>
    <sheet name="Cochran 1" sheetId="620" r:id="rId50"/>
    <sheet name="Cochran 2" sheetId="619" r:id="rId51"/>
    <sheet name="ANCOVA 1" sheetId="309" r:id="rId52"/>
    <sheet name="ANCOVA 2" sheetId="308" r:id="rId53"/>
    <sheet name="ANCOVA 3" sheetId="313" r:id="rId54"/>
    <sheet name="ANCOVA 4" sheetId="594" r:id="rId55"/>
    <sheet name="ANCOVA Contrasts" sheetId="312" r:id="rId56"/>
    <sheet name="ANCOVA Tukey" sheetId="767" r:id="rId57"/>
    <sheet name="ANCOVA Std" sheetId="766" r:id="rId58"/>
    <sheet name="ANCOVA Std 1" sheetId="765" r:id="rId59"/>
    <sheet name="ICC1" sheetId="756" r:id="rId60"/>
    <sheet name="ICC1a" sheetId="680" r:id="rId61"/>
    <sheet name="ICC2" sheetId="290" r:id="rId62"/>
    <sheet name="ICC3" sheetId="479" r:id="rId63"/>
    <sheet name="Stud. Q Table" sheetId="41" r:id="rId64"/>
    <sheet name="Stud. Q Table 2" sheetId="204" r:id="rId65"/>
  </sheets>
  <calcPr calcId="152511"/>
</workbook>
</file>

<file path=xl/calcChain.xml><?xml version="1.0" encoding="utf-8"?>
<calcChain xmlns="http://schemas.openxmlformats.org/spreadsheetml/2006/main">
  <c r="P20" i="737" l="1"/>
  <c r="P19" i="737"/>
  <c r="K56" i="479"/>
  <c r="K52" i="479"/>
  <c r="I50" i="479"/>
  <c r="K38" i="479"/>
  <c r="K34" i="479"/>
  <c r="AD60" i="290"/>
  <c r="AD55" i="290"/>
  <c r="AD51" i="290"/>
  <c r="AD42" i="290"/>
  <c r="N42" i="290"/>
  <c r="AD38" i="290"/>
  <c r="N38" i="290"/>
  <c r="AB35" i="290"/>
  <c r="N32" i="290"/>
  <c r="AD29" i="290"/>
  <c r="AD23" i="290"/>
  <c r="AD19" i="290"/>
  <c r="C14" i="680"/>
  <c r="I41" i="756"/>
  <c r="K35" i="756"/>
  <c r="R31" i="756"/>
  <c r="R29" i="756"/>
  <c r="R27" i="756"/>
  <c r="R25" i="756"/>
  <c r="R19" i="756"/>
  <c r="R16" i="756"/>
  <c r="AH5" i="765" a="1"/>
  <c r="L1" i="765" a="1"/>
  <c r="I49" i="479"/>
  <c r="K37" i="479"/>
  <c r="K33" i="479"/>
  <c r="AD59" i="290"/>
  <c r="AD54" i="290"/>
  <c r="AD50" i="290"/>
  <c r="N41" i="290"/>
  <c r="N37" i="290"/>
  <c r="N35" i="290"/>
  <c r="AD31" i="290"/>
  <c r="AD27" i="290"/>
  <c r="AD22" i="290"/>
  <c r="AD18" i="290"/>
  <c r="B14" i="680"/>
  <c r="K40" i="756"/>
  <c r="K34" i="756"/>
  <c r="K31" i="756"/>
  <c r="K29" i="756"/>
  <c r="K27" i="756"/>
  <c r="K25" i="756"/>
  <c r="R18" i="756"/>
  <c r="P16" i="756"/>
  <c r="AG5" i="765" a="1"/>
  <c r="I45" i="479"/>
  <c r="K32" i="479"/>
  <c r="AD53" i="290"/>
  <c r="N40" i="290"/>
  <c r="N34" i="290"/>
  <c r="AD26" i="290"/>
  <c r="AD17" i="290"/>
  <c r="AF9" i="290" a="1"/>
  <c r="I40" i="756"/>
  <c r="R30" i="756"/>
  <c r="R26" i="756"/>
  <c r="R17" i="756"/>
  <c r="AB9" i="765"/>
  <c r="Y5" i="765" a="1"/>
  <c r="Q14" i="767"/>
  <c r="Q10" i="767"/>
  <c r="O7" i="767"/>
  <c r="M15" i="594"/>
  <c r="I16" i="619"/>
  <c r="K9" i="619"/>
  <c r="K5" i="619"/>
  <c r="J79" i="620"/>
  <c r="J74" i="620"/>
  <c r="H63" i="620"/>
  <c r="H60" i="620"/>
  <c r="J54" i="620"/>
  <c r="J35" i="620"/>
  <c r="J30" i="620"/>
  <c r="H16" i="620"/>
  <c r="Q15" i="620" a="1"/>
  <c r="R7" i="620"/>
  <c r="J4" i="620"/>
  <c r="N14" i="825"/>
  <c r="N13" i="825"/>
  <c r="N12" i="825"/>
  <c r="T11" i="825"/>
  <c r="T10" i="825"/>
  <c r="T9" i="825"/>
  <c r="N8" i="825"/>
  <c r="AJ7" i="825" a="1"/>
  <c r="AG6" i="825"/>
  <c r="L6" i="825"/>
  <c r="L5" i="825"/>
  <c r="N4" i="825"/>
  <c r="G22" i="388"/>
  <c r="I14" i="388"/>
  <c r="H13" i="388"/>
  <c r="G12" i="388"/>
  <c r="I10" i="388"/>
  <c r="H9" i="388"/>
  <c r="G8" i="388"/>
  <c r="G7" i="388"/>
  <c r="I5" i="388"/>
  <c r="H4" i="388"/>
  <c r="U26" i="793"/>
  <c r="V20" i="793"/>
  <c r="Q12" i="793"/>
  <c r="K39" i="479"/>
  <c r="K29" i="479"/>
  <c r="AD52" i="290"/>
  <c r="N39" i="290"/>
  <c r="AA38" i="290" a="1"/>
  <c r="N33" i="290"/>
  <c r="AD24" i="290"/>
  <c r="AD16" i="290"/>
  <c r="D14" i="680"/>
  <c r="K36" i="756"/>
  <c r="K30" i="756"/>
  <c r="K26" i="756"/>
  <c r="P17" i="756"/>
  <c r="P18" i="765" a="1"/>
  <c r="R6" i="765"/>
  <c r="Q5" i="765" a="1"/>
  <c r="L3" i="766" a="1"/>
  <c r="Q17" i="767"/>
  <c r="Q13" i="767"/>
  <c r="Q8" i="767"/>
  <c r="Q6" i="767"/>
  <c r="AB13" i="308"/>
  <c r="S15" i="619" a="1"/>
  <c r="T7" i="619"/>
  <c r="K4" i="619"/>
  <c r="J77" i="620"/>
  <c r="J64" i="620"/>
  <c r="J61" i="620"/>
  <c r="J58" i="620"/>
  <c r="J53" i="620"/>
  <c r="J34" i="620"/>
  <c r="J29" i="620"/>
  <c r="J11" i="620"/>
  <c r="J7" i="620"/>
  <c r="N15" i="825"/>
  <c r="M14" i="825"/>
  <c r="M13" i="825"/>
  <c r="M12" i="825"/>
  <c r="N11" i="825"/>
  <c r="N10" i="825"/>
  <c r="N9" i="825"/>
  <c r="M8" i="825"/>
  <c r="N7" i="825"/>
  <c r="T6" i="825"/>
  <c r="AG5" i="825"/>
  <c r="J5" i="825"/>
  <c r="M4" i="825"/>
  <c r="I15" i="388"/>
  <c r="H14" i="388"/>
  <c r="G13" i="388"/>
  <c r="I11" i="388"/>
  <c r="K36" i="479"/>
  <c r="AD49" i="290"/>
  <c r="I31" i="290"/>
  <c r="H47" i="756" a="1"/>
  <c r="R32" i="756"/>
  <c r="R24" i="756"/>
  <c r="O17" i="767"/>
  <c r="O8" i="767"/>
  <c r="I17" i="619"/>
  <c r="K7" i="619"/>
  <c r="J76" i="620"/>
  <c r="H61" i="620"/>
  <c r="J52" i="620"/>
  <c r="J28" i="620"/>
  <c r="J6" i="620"/>
  <c r="L14" i="825"/>
  <c r="L12" i="825"/>
  <c r="M10" i="825"/>
  <c r="L8" i="825"/>
  <c r="N6" i="825"/>
  <c r="G5" i="825"/>
  <c r="H15" i="388"/>
  <c r="I12" i="388"/>
  <c r="H10" i="388"/>
  <c r="I8" i="388"/>
  <c r="H7" i="388"/>
  <c r="H5" i="388"/>
  <c r="K27" i="793"/>
  <c r="U25" i="793"/>
  <c r="U20" i="793"/>
  <c r="V19" i="793"/>
  <c r="J14" i="793" a="1"/>
  <c r="Q11" i="793"/>
  <c r="K6" i="793" a="1"/>
  <c r="K27" i="794"/>
  <c r="V25" i="794"/>
  <c r="V19" i="794"/>
  <c r="Q10" i="794"/>
  <c r="AF242" i="795"/>
  <c r="Z240" i="795" a="1"/>
  <c r="AF219" i="795"/>
  <c r="AF215" i="795"/>
  <c r="Z213" i="795" a="1"/>
  <c r="AF179" i="795"/>
  <c r="AF175" i="795"/>
  <c r="AF171" i="795"/>
  <c r="AF167" i="795"/>
  <c r="AF145" i="795"/>
  <c r="AF141" i="795"/>
  <c r="AF137" i="795"/>
  <c r="AF133" i="795"/>
  <c r="AF112" i="795"/>
  <c r="Z110" i="795" a="1"/>
  <c r="AF89" i="795"/>
  <c r="Z87" i="795" a="1"/>
  <c r="AF65" i="795"/>
  <c r="AF61" i="795"/>
  <c r="AF57" i="795"/>
  <c r="AF31" i="795"/>
  <c r="AF27" i="795"/>
  <c r="AF23" i="795"/>
  <c r="AF19" i="795"/>
  <c r="Q19" i="303"/>
  <c r="H56" i="479" a="1"/>
  <c r="K35" i="479"/>
  <c r="N43" i="290"/>
  <c r="AD30" i="290"/>
  <c r="K43" i="756"/>
  <c r="K32" i="756"/>
  <c r="K22" i="756"/>
  <c r="W5" i="765" a="1"/>
  <c r="Q15" i="767"/>
  <c r="Q7" i="767"/>
  <c r="K6" i="619"/>
  <c r="J75" i="620"/>
  <c r="J60" i="620"/>
  <c r="J51" i="620"/>
  <c r="H17" i="620"/>
  <c r="J5" i="620"/>
  <c r="AG13" i="825"/>
  <c r="AG11" i="825"/>
  <c r="L10" i="825"/>
  <c r="M6" i="825"/>
  <c r="AG4" i="825"/>
  <c r="G15" i="388"/>
  <c r="H12" i="388"/>
  <c r="G10" i="388"/>
  <c r="H8" i="388"/>
  <c r="I6" i="388"/>
  <c r="G5" i="388"/>
  <c r="V26" i="793"/>
  <c r="U19" i="793"/>
  <c r="Q10" i="793"/>
  <c r="J7" i="793" a="1"/>
  <c r="V26" i="794"/>
  <c r="U25" i="794"/>
  <c r="J21" i="794" a="1"/>
  <c r="U19" i="794"/>
  <c r="J14" i="794" a="1"/>
  <c r="K13" i="794" a="1"/>
  <c r="Q8" i="794"/>
  <c r="J7" i="794" a="1"/>
  <c r="K6" i="794" a="1"/>
  <c r="AF241" i="795"/>
  <c r="AF218" i="795"/>
  <c r="AF214" i="795"/>
  <c r="AD21" i="290"/>
  <c r="H43" i="756" a="1"/>
  <c r="P12" i="756"/>
  <c r="Q19" i="767"/>
  <c r="Q5" i="767"/>
  <c r="K11" i="619"/>
  <c r="H64" i="620"/>
  <c r="J33" i="620"/>
  <c r="J10" i="620"/>
  <c r="L13" i="825"/>
  <c r="M9" i="825"/>
  <c r="M7" i="825"/>
  <c r="L4" i="825"/>
  <c r="H11" i="388"/>
  <c r="X7" i="388"/>
  <c r="I4" i="388"/>
  <c r="Q8" i="793"/>
  <c r="AF221" i="795"/>
  <c r="AF178" i="795"/>
  <c r="AF173" i="795"/>
  <c r="AF168" i="795"/>
  <c r="AF144" i="795"/>
  <c r="AF139" i="795"/>
  <c r="AF134" i="795"/>
  <c r="AF111" i="795"/>
  <c r="AF90" i="795"/>
  <c r="AF66" i="795"/>
  <c r="AF60" i="795"/>
  <c r="AF55" i="795"/>
  <c r="AF33" i="795"/>
  <c r="AF28" i="795"/>
  <c r="AF22" i="795"/>
  <c r="A13" i="303" a="1"/>
  <c r="U26" i="590"/>
  <c r="V20" i="590"/>
  <c r="V12" i="590"/>
  <c r="Q7" i="590"/>
  <c r="AO45" i="302"/>
  <c r="AO35" i="302"/>
  <c r="AC26" i="302"/>
  <c r="AC19" i="302"/>
  <c r="AR15" i="302" a="1"/>
  <c r="AJ42" i="300" a="1"/>
  <c r="AZ13" i="300"/>
  <c r="AZ5" i="300"/>
  <c r="AZ4" i="300"/>
  <c r="U20" i="723"/>
  <c r="H30" i="297" a="1"/>
  <c r="H22" i="826"/>
  <c r="S12" i="826"/>
  <c r="H52" i="479" a="1"/>
  <c r="AA42" i="290" a="1"/>
  <c r="AD20" i="290"/>
  <c r="K41" i="756"/>
  <c r="P11" i="765" a="1"/>
  <c r="Q18" i="767"/>
  <c r="Q4" i="767"/>
  <c r="K10" i="619"/>
  <c r="J63" i="620"/>
  <c r="J31" i="620"/>
  <c r="J9" i="620"/>
  <c r="AG12" i="825"/>
  <c r="L9" i="825"/>
  <c r="L7" i="825"/>
  <c r="G23" i="388"/>
  <c r="G11" i="388"/>
  <c r="I7" i="388"/>
  <c r="G4" i="388"/>
  <c r="J21" i="793" a="1"/>
  <c r="E5" i="793" a="1"/>
  <c r="K20" i="794" a="1"/>
  <c r="AF220" i="795"/>
  <c r="AF177" i="795"/>
  <c r="AF172" i="795"/>
  <c r="Z166" i="795" a="1"/>
  <c r="AF143" i="795"/>
  <c r="AF138" i="795"/>
  <c r="AF132" i="795"/>
  <c r="AF88" i="795"/>
  <c r="AF64" i="795"/>
  <c r="AF59" i="795"/>
  <c r="AF32" i="795"/>
  <c r="AF26" i="795"/>
  <c r="AF21" i="795"/>
  <c r="A5" i="303" a="1"/>
  <c r="I26" i="590"/>
  <c r="U20" i="590"/>
  <c r="U12" i="590"/>
  <c r="AF3" i="590" a="1"/>
  <c r="AN45" i="302"/>
  <c r="AN35" i="302"/>
  <c r="AB26" i="302"/>
  <c r="AR24" i="302" a="1"/>
  <c r="AB19" i="302"/>
  <c r="AD57" i="290"/>
  <c r="G8" i="680"/>
  <c r="J57" i="620"/>
  <c r="M15" i="825"/>
  <c r="G14" i="388"/>
  <c r="H6" i="388"/>
  <c r="U26" i="794"/>
  <c r="AF181" i="795"/>
  <c r="AF170" i="795"/>
  <c r="AF142" i="795"/>
  <c r="Z131" i="795" a="1"/>
  <c r="AF63" i="795"/>
  <c r="AF30" i="795"/>
  <c r="AF20" i="795"/>
  <c r="V25" i="590"/>
  <c r="V11" i="590"/>
  <c r="V57" i="302"/>
  <c r="AC20" i="302"/>
  <c r="AR6" i="302" a="1"/>
  <c r="AJ26" i="300" a="1"/>
  <c r="AZ7" i="300"/>
  <c r="U21" i="723"/>
  <c r="H25" i="589"/>
  <c r="H23" i="826"/>
  <c r="AQ15" i="826" a="1"/>
  <c r="AK14" i="826"/>
  <c r="AU12" i="826"/>
  <c r="AU11" i="826"/>
  <c r="AU10" i="826"/>
  <c r="AQ7" i="826"/>
  <c r="AG7" i="826"/>
  <c r="AL6" i="824"/>
  <c r="AJ6" i="823"/>
  <c r="AJ12" i="822"/>
  <c r="BA17" i="738"/>
  <c r="BA13" i="738"/>
  <c r="AK14" i="821"/>
  <c r="AK10" i="821"/>
  <c r="T6" i="821"/>
  <c r="N10" i="819" a="1"/>
  <c r="G3" i="819" a="1"/>
  <c r="L4" i="818" a="1"/>
  <c r="M7" i="817" a="1"/>
  <c r="AB7" i="816"/>
  <c r="Z24" i="814"/>
  <c r="Z22" i="814"/>
  <c r="Z20" i="814"/>
  <c r="Z12" i="809"/>
  <c r="AD56" i="290"/>
  <c r="K47" i="756"/>
  <c r="M16" i="619" a="1"/>
  <c r="J56" i="620"/>
  <c r="L15" i="825"/>
  <c r="I13" i="388"/>
  <c r="G6" i="388"/>
  <c r="K20" i="793" a="1"/>
  <c r="K26" i="794"/>
  <c r="AF180" i="795"/>
  <c r="AF169" i="795"/>
  <c r="AF140" i="795"/>
  <c r="AF91" i="795"/>
  <c r="AF62" i="795"/>
  <c r="AF29" i="795"/>
  <c r="AF18" i="795"/>
  <c r="G5" i="303" a="1"/>
  <c r="U25" i="590"/>
  <c r="U11" i="590"/>
  <c r="V56" i="302"/>
  <c r="AR33" i="302" a="1"/>
  <c r="AB20" i="302"/>
  <c r="AZ15" i="300"/>
  <c r="AZ6" i="300"/>
  <c r="AM5" i="300" a="1"/>
  <c r="AF5" i="300" a="1"/>
  <c r="O19" i="723" a="1"/>
  <c r="A22" i="298" a="1"/>
  <c r="H24" i="589"/>
  <c r="T17" i="826"/>
  <c r="AK15" i="826"/>
  <c r="AU13" i="826"/>
  <c r="AQ12" i="826" a="1"/>
  <c r="AP7" i="826"/>
  <c r="AN11" i="824"/>
  <c r="AL11" i="823"/>
  <c r="AJ15" i="822"/>
  <c r="AJ11" i="822"/>
  <c r="BA16" i="738"/>
  <c r="BA12" i="738"/>
  <c r="AK13" i="821"/>
  <c r="AI7" i="821"/>
  <c r="T5" i="821"/>
  <c r="M7" i="820" a="1"/>
  <c r="N10" i="818" a="1"/>
  <c r="G3" i="818" a="1"/>
  <c r="AB36" i="290"/>
  <c r="J81" i="620"/>
  <c r="M11" i="825"/>
  <c r="I9" i="388"/>
  <c r="Q12" i="794"/>
  <c r="AF136" i="795"/>
  <c r="Z54" i="795" a="1"/>
  <c r="I27" i="590"/>
  <c r="D22" i="299"/>
  <c r="W25" i="297" a="1"/>
  <c r="S17" i="826"/>
  <c r="AQ13" i="826" a="1"/>
  <c r="AQ11" i="826" a="1"/>
  <c r="AI7" i="826"/>
  <c r="AL10" i="823"/>
  <c r="AJ10" i="822"/>
  <c r="AY9" i="738"/>
  <c r="AH7" i="821"/>
  <c r="H4" i="821" a="1"/>
  <c r="L4" i="820" a="1"/>
  <c r="E5" i="816" a="1"/>
  <c r="Z25" i="814"/>
  <c r="AI21" i="814"/>
  <c r="Z19" i="814"/>
  <c r="T18" i="814" a="1"/>
  <c r="AB12" i="809"/>
  <c r="Z24" i="810"/>
  <c r="Z22" i="810"/>
  <c r="Z20" i="810"/>
  <c r="AO33" i="811"/>
  <c r="AG34" i="741"/>
  <c r="AG30" i="741"/>
  <c r="AG26" i="741"/>
  <c r="AG22" i="741"/>
  <c r="AD17" i="741"/>
  <c r="L3" i="591" a="1"/>
  <c r="K20" i="595"/>
  <c r="V8" i="595"/>
  <c r="R8" i="595"/>
  <c r="S7" i="595"/>
  <c r="A5" i="298" a="1"/>
  <c r="AU14" i="826"/>
  <c r="AQ10" i="826" a="1"/>
  <c r="M7" i="819" a="1"/>
  <c r="N36" i="290"/>
  <c r="J80" i="620"/>
  <c r="L11" i="825"/>
  <c r="G9" i="388"/>
  <c r="K13" i="793" a="1"/>
  <c r="Q11" i="794"/>
  <c r="F5" i="794" a="1"/>
  <c r="AF135" i="795"/>
  <c r="AF67" i="795"/>
  <c r="AF34" i="795"/>
  <c r="V26" i="590"/>
  <c r="D11" i="299"/>
  <c r="AU15" i="826"/>
  <c r="AK13" i="826"/>
  <c r="AK11" i="826"/>
  <c r="AH7" i="826"/>
  <c r="AL9" i="823"/>
  <c r="AH7" i="822"/>
  <c r="AK15" i="821"/>
  <c r="AG7" i="821"/>
  <c r="G3" i="820" a="1"/>
  <c r="L4" i="819" a="1"/>
  <c r="E17" i="816" a="1"/>
  <c r="N6" i="816" a="1"/>
  <c r="AI23" i="814"/>
  <c r="Z21" i="814"/>
  <c r="J4" i="809" a="1"/>
  <c r="AI23" i="810"/>
  <c r="AI21" i="810"/>
  <c r="AI19" i="810"/>
  <c r="AA37" i="811"/>
  <c r="AN33" i="811"/>
  <c r="AG33" i="741"/>
  <c r="AG29" i="741"/>
  <c r="AG25" i="741"/>
  <c r="AG21" i="741"/>
  <c r="AC17" i="741"/>
  <c r="M3" i="591" a="1"/>
  <c r="J20" i="595"/>
  <c r="U8" i="595"/>
  <c r="V7" i="595"/>
  <c r="R7" i="595"/>
  <c r="R28" i="756"/>
  <c r="Q12" i="767"/>
  <c r="N5" i="825"/>
  <c r="K26" i="793"/>
  <c r="V20" i="794"/>
  <c r="AF217" i="795"/>
  <c r="AF176" i="795"/>
  <c r="AF58" i="795"/>
  <c r="AF25" i="795"/>
  <c r="V19" i="590"/>
  <c r="AO40" i="302"/>
  <c r="AC25" i="302"/>
  <c r="CO18" i="302"/>
  <c r="AZ14" i="300"/>
  <c r="U23" i="723"/>
  <c r="B3" i="299" a="1"/>
  <c r="AK12" i="826"/>
  <c r="AN10" i="824"/>
  <c r="AJ14" i="822"/>
  <c r="BA15" i="738"/>
  <c r="AK12" i="821"/>
  <c r="K28" i="756"/>
  <c r="L16" i="620" a="1"/>
  <c r="T12" i="826"/>
  <c r="BA14" i="738"/>
  <c r="AB8" i="816"/>
  <c r="Z23" i="814"/>
  <c r="AC18" i="814" a="1"/>
  <c r="AU25" i="810" a="1"/>
  <c r="Z21" i="810"/>
  <c r="AA36" i="811"/>
  <c r="AG32" i="741"/>
  <c r="AG24" i="741"/>
  <c r="E5" i="597" a="1"/>
  <c r="K19" i="595"/>
  <c r="U7" i="595"/>
  <c r="M5" i="825"/>
  <c r="U20" i="794"/>
  <c r="AF146" i="795"/>
  <c r="AF56" i="795"/>
  <c r="Z17" i="795" a="1"/>
  <c r="AB25" i="302"/>
  <c r="U22" i="723"/>
  <c r="L3" i="298" a="1"/>
  <c r="AK10" i="826"/>
  <c r="AK11" i="821"/>
  <c r="N10" i="820" a="1"/>
  <c r="M7" i="818" a="1"/>
  <c r="G3" i="817" a="1"/>
  <c r="T5" i="815" a="1"/>
  <c r="AI22" i="814"/>
  <c r="AC12" i="809"/>
  <c r="Z25" i="810"/>
  <c r="AI20" i="810"/>
  <c r="AC18" i="810" a="1"/>
  <c r="AG31" i="741"/>
  <c r="AG23" i="741"/>
  <c r="J19" i="595"/>
  <c r="T7" i="595"/>
  <c r="V25" i="793"/>
  <c r="AF216" i="795"/>
  <c r="U19" i="590"/>
  <c r="AL5" i="297" a="1"/>
  <c r="AN9" i="824"/>
  <c r="N10" i="817" a="1"/>
  <c r="L4" i="817" a="1"/>
  <c r="W19" i="816" a="1"/>
  <c r="J16" i="813" a="1"/>
  <c r="AI20" i="814"/>
  <c r="Z26" i="810"/>
  <c r="Z23" i="810"/>
  <c r="Z19" i="810"/>
  <c r="T18" i="810" a="1"/>
  <c r="AG28" i="741"/>
  <c r="AG20" i="741"/>
  <c r="T8" i="595"/>
  <c r="AF174" i="795"/>
  <c r="AN40" i="302"/>
  <c r="AQ14" i="826" a="1"/>
  <c r="AI19" i="814"/>
  <c r="AI22" i="810"/>
  <c r="V25" i="811" a="1"/>
  <c r="AG27" i="741"/>
  <c r="AE17" i="741"/>
  <c r="S8" i="595"/>
  <c r="AL33" i="811"/>
  <c r="Q11" i="767"/>
  <c r="AF24" i="795"/>
  <c r="AZ12" i="300"/>
  <c r="AJ13" i="822"/>
  <c r="Z26" i="814"/>
  <c r="K3" i="591" a="1"/>
  <c r="K29" i="591" l="1"/>
  <c r="K25" i="591"/>
  <c r="K21" i="591"/>
  <c r="K17" i="591"/>
  <c r="K13" i="591"/>
  <c r="K9" i="591"/>
  <c r="K5" i="591"/>
  <c r="K32" i="591"/>
  <c r="K28" i="591"/>
  <c r="K24" i="591"/>
  <c r="K20" i="591"/>
  <c r="K16" i="591"/>
  <c r="K12" i="591"/>
  <c r="K8" i="591"/>
  <c r="K4" i="591"/>
  <c r="K31" i="591"/>
  <c r="K23" i="591"/>
  <c r="K15" i="591"/>
  <c r="K7" i="591"/>
  <c r="K30" i="591"/>
  <c r="K22" i="591"/>
  <c r="K14" i="591"/>
  <c r="K6" i="591"/>
  <c r="K27" i="591"/>
  <c r="K19" i="591"/>
  <c r="K11" i="591"/>
  <c r="K18" i="591"/>
  <c r="K3" i="591"/>
  <c r="K26" i="591"/>
  <c r="K10" i="591"/>
  <c r="Z28" i="811"/>
  <c r="V28" i="811"/>
  <c r="X27" i="811"/>
  <c r="Z26" i="811"/>
  <c r="V26" i="811"/>
  <c r="X25" i="811"/>
  <c r="Y28" i="811"/>
  <c r="AA27" i="811"/>
  <c r="W27" i="811"/>
  <c r="Y26" i="811"/>
  <c r="AA25" i="811"/>
  <c r="W25" i="811"/>
  <c r="X28" i="811"/>
  <c r="V27" i="811"/>
  <c r="Z25" i="811"/>
  <c r="W28" i="811"/>
  <c r="AA26" i="811"/>
  <c r="Y25" i="811"/>
  <c r="Z27" i="811"/>
  <c r="X26" i="811"/>
  <c r="V25" i="811"/>
  <c r="AA28" i="811"/>
  <c r="Y27" i="811"/>
  <c r="W26" i="811"/>
  <c r="AQ14" i="826"/>
  <c r="U26" i="810"/>
  <c r="U24" i="810"/>
  <c r="U22" i="810"/>
  <c r="U20" i="810"/>
  <c r="U18" i="810"/>
  <c r="T26" i="810"/>
  <c r="T24" i="810"/>
  <c r="T22" i="810"/>
  <c r="T20" i="810"/>
  <c r="T18" i="810"/>
  <c r="U23" i="810"/>
  <c r="U19" i="810"/>
  <c r="T23" i="810"/>
  <c r="T19" i="810"/>
  <c r="U25" i="810"/>
  <c r="U21" i="810"/>
  <c r="T25" i="810"/>
  <c r="T21" i="810"/>
  <c r="J16" i="813"/>
  <c r="J18" i="813"/>
  <c r="J17" i="813"/>
  <c r="W20" i="816"/>
  <c r="W21" i="816"/>
  <c r="W19" i="816"/>
  <c r="L4" i="817"/>
  <c r="L6" i="817"/>
  <c r="L5" i="817"/>
  <c r="N11" i="817"/>
  <c r="N12" i="817"/>
  <c r="N10" i="817"/>
  <c r="N13" i="817"/>
  <c r="AM8" i="297"/>
  <c r="AM7" i="297"/>
  <c r="AM6" i="297"/>
  <c r="AM5" i="297"/>
  <c r="AN8" i="297"/>
  <c r="AL7" i="297"/>
  <c r="AO5" i="297"/>
  <c r="AL8" i="297"/>
  <c r="AO6" i="297"/>
  <c r="AN5" i="297"/>
  <c r="AN6" i="297"/>
  <c r="AO8" i="297"/>
  <c r="AL6" i="297"/>
  <c r="AO7" i="297"/>
  <c r="AL5" i="297"/>
  <c r="AN7" i="297"/>
  <c r="AC23" i="810"/>
  <c r="AC21" i="810"/>
  <c r="AC19" i="810"/>
  <c r="AD22" i="810"/>
  <c r="AD20" i="810"/>
  <c r="AD18" i="810"/>
  <c r="AC22" i="810"/>
  <c r="AC18" i="810"/>
  <c r="AD21" i="810"/>
  <c r="AC20" i="810"/>
  <c r="AD23" i="810"/>
  <c r="AD19" i="810"/>
  <c r="T5" i="815"/>
  <c r="T7" i="815"/>
  <c r="T6" i="815"/>
  <c r="H38" i="817"/>
  <c r="H37" i="817"/>
  <c r="H36" i="817"/>
  <c r="H35" i="817"/>
  <c r="H34" i="817"/>
  <c r="H33" i="817"/>
  <c r="H32" i="817"/>
  <c r="H31" i="817"/>
  <c r="H30" i="817"/>
  <c r="H29" i="817"/>
  <c r="H28" i="817"/>
  <c r="H27" i="817"/>
  <c r="H26" i="817"/>
  <c r="H25" i="817"/>
  <c r="H24" i="817"/>
  <c r="H23" i="817"/>
  <c r="H22" i="817"/>
  <c r="H21" i="817"/>
  <c r="H20" i="817"/>
  <c r="H19" i="817"/>
  <c r="H18" i="817"/>
  <c r="H17" i="817"/>
  <c r="H16" i="817"/>
  <c r="H15" i="817"/>
  <c r="H14" i="817"/>
  <c r="H13" i="817"/>
  <c r="H12" i="817"/>
  <c r="H11" i="817"/>
  <c r="H10" i="817"/>
  <c r="H9" i="817"/>
  <c r="H8" i="817"/>
  <c r="H7" i="817"/>
  <c r="H6" i="817"/>
  <c r="H5" i="817"/>
  <c r="H4" i="817"/>
  <c r="H3" i="817"/>
  <c r="I38" i="817"/>
  <c r="G37" i="817"/>
  <c r="J35" i="817"/>
  <c r="I34" i="817"/>
  <c r="G33" i="817"/>
  <c r="J31" i="817"/>
  <c r="I30" i="817"/>
  <c r="G29" i="817"/>
  <c r="J27" i="817"/>
  <c r="I26" i="817"/>
  <c r="G25" i="817"/>
  <c r="J23" i="817"/>
  <c r="I22" i="817"/>
  <c r="G21" i="817"/>
  <c r="J19" i="817"/>
  <c r="I18" i="817"/>
  <c r="G17" i="817"/>
  <c r="J15" i="817"/>
  <c r="I14" i="817"/>
  <c r="G13" i="817"/>
  <c r="J11" i="817"/>
  <c r="I10" i="817"/>
  <c r="G9" i="817"/>
  <c r="J7" i="817"/>
  <c r="I6" i="817"/>
  <c r="G5" i="817"/>
  <c r="J3" i="817"/>
  <c r="G38" i="817"/>
  <c r="J36" i="817"/>
  <c r="I35" i="817"/>
  <c r="G34" i="817"/>
  <c r="J32" i="817"/>
  <c r="I31" i="817"/>
  <c r="G30" i="817"/>
  <c r="J28" i="817"/>
  <c r="I27" i="817"/>
  <c r="G26" i="817"/>
  <c r="J24" i="817"/>
  <c r="I23" i="817"/>
  <c r="G22" i="817"/>
  <c r="J20" i="817"/>
  <c r="I19" i="817"/>
  <c r="G18" i="817"/>
  <c r="J16" i="817"/>
  <c r="I15" i="817"/>
  <c r="G14" i="817"/>
  <c r="J12" i="817"/>
  <c r="I11" i="817"/>
  <c r="G10" i="817"/>
  <c r="J8" i="817"/>
  <c r="I7" i="817"/>
  <c r="G6" i="817"/>
  <c r="J4" i="817"/>
  <c r="I3" i="817"/>
  <c r="J37" i="817"/>
  <c r="G35" i="817"/>
  <c r="I32" i="817"/>
  <c r="J29" i="817"/>
  <c r="G27" i="817"/>
  <c r="I24" i="817"/>
  <c r="J21" i="817"/>
  <c r="G19" i="817"/>
  <c r="I16" i="817"/>
  <c r="J13" i="817"/>
  <c r="G11" i="817"/>
  <c r="I8" i="817"/>
  <c r="J5" i="817"/>
  <c r="G3" i="817"/>
  <c r="I37" i="817"/>
  <c r="J34" i="817"/>
  <c r="G32" i="817"/>
  <c r="I29" i="817"/>
  <c r="J26" i="817"/>
  <c r="G24" i="817"/>
  <c r="I21" i="817"/>
  <c r="J18" i="817"/>
  <c r="G16" i="817"/>
  <c r="I13" i="817"/>
  <c r="J10" i="817"/>
  <c r="G8" i="817"/>
  <c r="I5" i="817"/>
  <c r="I36" i="817"/>
  <c r="J33" i="817"/>
  <c r="G31" i="817"/>
  <c r="I28" i="817"/>
  <c r="J25" i="817"/>
  <c r="G23" i="817"/>
  <c r="I20" i="817"/>
  <c r="J17" i="817"/>
  <c r="G15" i="817"/>
  <c r="I12" i="817"/>
  <c r="J9" i="817"/>
  <c r="G7" i="817"/>
  <c r="I4" i="817"/>
  <c r="G36" i="817"/>
  <c r="J30" i="817"/>
  <c r="I25" i="817"/>
  <c r="I17" i="817"/>
  <c r="I9" i="817"/>
  <c r="G4" i="817"/>
  <c r="J38" i="817"/>
  <c r="I33" i="817"/>
  <c r="G28" i="817"/>
  <c r="J22" i="817"/>
  <c r="G20" i="817"/>
  <c r="J14" i="817"/>
  <c r="G12" i="817"/>
  <c r="J6" i="817"/>
  <c r="M9" i="818"/>
  <c r="M8" i="818"/>
  <c r="M7" i="818"/>
  <c r="N12" i="820"/>
  <c r="N11" i="820"/>
  <c r="N13" i="820"/>
  <c r="N10" i="820"/>
  <c r="L3" i="298"/>
  <c r="AA33" i="795"/>
  <c r="AA31" i="795"/>
  <c r="AA29" i="795"/>
  <c r="AA27" i="795"/>
  <c r="AA25" i="795"/>
  <c r="AA23" i="795"/>
  <c r="AA21" i="795"/>
  <c r="AA19" i="795"/>
  <c r="AA17" i="795"/>
  <c r="AA34" i="795"/>
  <c r="Z32" i="795"/>
  <c r="Z29" i="795"/>
  <c r="AA26" i="795"/>
  <c r="Z24" i="795"/>
  <c r="Z21" i="795"/>
  <c r="AA18" i="795"/>
  <c r="Z34" i="795"/>
  <c r="Z31" i="795"/>
  <c r="AA28" i="795"/>
  <c r="Z26" i="795"/>
  <c r="Z23" i="795"/>
  <c r="AA20" i="795"/>
  <c r="Z18" i="795"/>
  <c r="AA30" i="795"/>
  <c r="Z25" i="795"/>
  <c r="Z20" i="795"/>
  <c r="Z30" i="795"/>
  <c r="AA24" i="795"/>
  <c r="Z19" i="795"/>
  <c r="Z33" i="795"/>
  <c r="AA22" i="795"/>
  <c r="Z17" i="795"/>
  <c r="AA32" i="795"/>
  <c r="Z22" i="795"/>
  <c r="Z28" i="795"/>
  <c r="Z27" i="795"/>
  <c r="F20" i="597"/>
  <c r="F19" i="597"/>
  <c r="F18" i="597"/>
  <c r="F17" i="597"/>
  <c r="F16" i="597"/>
  <c r="F15" i="597"/>
  <c r="F14" i="597"/>
  <c r="F13" i="597"/>
  <c r="F12" i="597"/>
  <c r="F11" i="597"/>
  <c r="F10" i="597"/>
  <c r="F9" i="597"/>
  <c r="F8" i="597"/>
  <c r="F7" i="597"/>
  <c r="F6" i="597"/>
  <c r="F5" i="597"/>
  <c r="E20" i="597"/>
  <c r="E19" i="597"/>
  <c r="E18" i="597"/>
  <c r="E17" i="597"/>
  <c r="E16" i="597"/>
  <c r="E15" i="597"/>
  <c r="E14" i="597"/>
  <c r="E13" i="597"/>
  <c r="E12" i="597"/>
  <c r="E11" i="597"/>
  <c r="E10" i="597"/>
  <c r="E9" i="597"/>
  <c r="E8" i="597"/>
  <c r="E7" i="597"/>
  <c r="E6" i="597"/>
  <c r="E5" i="597"/>
  <c r="H20" i="597"/>
  <c r="H18" i="597"/>
  <c r="H16" i="597"/>
  <c r="H14" i="597"/>
  <c r="H12" i="597"/>
  <c r="H10" i="597"/>
  <c r="H8" i="597"/>
  <c r="H6" i="597"/>
  <c r="G20" i="597"/>
  <c r="G18" i="597"/>
  <c r="G16" i="597"/>
  <c r="G14" i="597"/>
  <c r="G12" i="597"/>
  <c r="G10" i="597"/>
  <c r="G8" i="597"/>
  <c r="G6" i="597"/>
  <c r="H19" i="597"/>
  <c r="H17" i="597"/>
  <c r="H15" i="597"/>
  <c r="H13" i="597"/>
  <c r="H11" i="597"/>
  <c r="H9" i="597"/>
  <c r="H7" i="597"/>
  <c r="H5" i="597"/>
  <c r="G5" i="597"/>
  <c r="G19" i="597"/>
  <c r="G17" i="597"/>
  <c r="G15" i="597"/>
  <c r="G13" i="597"/>
  <c r="G11" i="597"/>
  <c r="G9" i="597"/>
  <c r="G7" i="597"/>
  <c r="AU26" i="810"/>
  <c r="AU25" i="810"/>
  <c r="AU27" i="810"/>
  <c r="AC23" i="814"/>
  <c r="AC21" i="814"/>
  <c r="AC19" i="814"/>
  <c r="AD21" i="814"/>
  <c r="AD18" i="814"/>
  <c r="AD23" i="814"/>
  <c r="AD20" i="814"/>
  <c r="AC18" i="814"/>
  <c r="AD22" i="814"/>
  <c r="AC22" i="814"/>
  <c r="AC20" i="814"/>
  <c r="AD19" i="814"/>
  <c r="N16" i="620"/>
  <c r="M16" i="620"/>
  <c r="L16" i="620"/>
  <c r="C3" i="299"/>
  <c r="D3" i="299"/>
  <c r="B3" i="299"/>
  <c r="M31" i="591"/>
  <c r="M27" i="591"/>
  <c r="M23" i="591"/>
  <c r="M19" i="591"/>
  <c r="M15" i="591"/>
  <c r="M11" i="591"/>
  <c r="M7" i="591"/>
  <c r="M3" i="591"/>
  <c r="M30" i="591"/>
  <c r="M26" i="591"/>
  <c r="M22" i="591"/>
  <c r="M18" i="591"/>
  <c r="M14" i="591"/>
  <c r="M10" i="591"/>
  <c r="M6" i="591"/>
  <c r="M25" i="591"/>
  <c r="M17" i="591"/>
  <c r="M9" i="591"/>
  <c r="M32" i="591"/>
  <c r="M24" i="591"/>
  <c r="M16" i="591"/>
  <c r="M8" i="591"/>
  <c r="M29" i="591"/>
  <c r="M13" i="591"/>
  <c r="M5" i="591"/>
  <c r="M21" i="591"/>
  <c r="M28" i="591"/>
  <c r="M20" i="591"/>
  <c r="M12" i="591"/>
  <c r="M4" i="591"/>
  <c r="N7" i="809"/>
  <c r="J7" i="809"/>
  <c r="M7" i="809"/>
  <c r="N6" i="809"/>
  <c r="J6" i="809"/>
  <c r="L5" i="809"/>
  <c r="N4" i="809"/>
  <c r="J4" i="809"/>
  <c r="L7" i="809"/>
  <c r="M6" i="809"/>
  <c r="O5" i="809"/>
  <c r="K5" i="809"/>
  <c r="M4" i="809"/>
  <c r="K7" i="809"/>
  <c r="N5" i="809"/>
  <c r="L4" i="809"/>
  <c r="O6" i="809"/>
  <c r="M5" i="809"/>
  <c r="K4" i="809"/>
  <c r="L6" i="809"/>
  <c r="J5" i="809"/>
  <c r="O7" i="809"/>
  <c r="O4" i="809"/>
  <c r="K6" i="809"/>
  <c r="P9" i="816"/>
  <c r="R8" i="816"/>
  <c r="N8" i="816"/>
  <c r="P7" i="816"/>
  <c r="R6" i="816"/>
  <c r="N6" i="816"/>
  <c r="R9" i="816"/>
  <c r="S8" i="816"/>
  <c r="S7" i="816"/>
  <c r="N7" i="816"/>
  <c r="O6" i="816"/>
  <c r="Q9" i="816"/>
  <c r="Q8" i="816"/>
  <c r="R7" i="816"/>
  <c r="S6" i="816"/>
  <c r="P8" i="816"/>
  <c r="Q6" i="816"/>
  <c r="S9" i="816"/>
  <c r="O8" i="816"/>
  <c r="P6" i="816"/>
  <c r="O9" i="816"/>
  <c r="Q7" i="816"/>
  <c r="O7" i="816"/>
  <c r="N9" i="816"/>
  <c r="J21" i="816"/>
  <c r="F21" i="816"/>
  <c r="I20" i="816"/>
  <c r="E20" i="816"/>
  <c r="H19" i="816"/>
  <c r="K18" i="816"/>
  <c r="G18" i="816"/>
  <c r="J17" i="816"/>
  <c r="F17" i="816"/>
  <c r="I21" i="816"/>
  <c r="K20" i="816"/>
  <c r="F20" i="816"/>
  <c r="G19" i="816"/>
  <c r="I18" i="816"/>
  <c r="K17" i="816"/>
  <c r="E17" i="816"/>
  <c r="H21" i="816"/>
  <c r="J20" i="816"/>
  <c r="K19" i="816"/>
  <c r="F19" i="816"/>
  <c r="H18" i="816"/>
  <c r="I17" i="816"/>
  <c r="G21" i="816"/>
  <c r="J19" i="816"/>
  <c r="F18" i="816"/>
  <c r="E21" i="816"/>
  <c r="I19" i="816"/>
  <c r="E18" i="816"/>
  <c r="H20" i="816"/>
  <c r="E19" i="816"/>
  <c r="H17" i="816"/>
  <c r="G20" i="816"/>
  <c r="G17" i="816"/>
  <c r="K21" i="816"/>
  <c r="J18" i="816"/>
  <c r="L6" i="819"/>
  <c r="L5" i="819"/>
  <c r="L4" i="819"/>
  <c r="I38" i="820"/>
  <c r="I37" i="820"/>
  <c r="I36" i="820"/>
  <c r="I35" i="820"/>
  <c r="I34" i="820"/>
  <c r="I33" i="820"/>
  <c r="I32" i="820"/>
  <c r="I31" i="820"/>
  <c r="I30" i="820"/>
  <c r="I29" i="820"/>
  <c r="I28" i="820"/>
  <c r="I27" i="820"/>
  <c r="I26" i="820"/>
  <c r="I25" i="820"/>
  <c r="I24" i="820"/>
  <c r="I23" i="820"/>
  <c r="I22" i="820"/>
  <c r="I21" i="820"/>
  <c r="I20" i="820"/>
  <c r="I19" i="820"/>
  <c r="I18" i="820"/>
  <c r="I17" i="820"/>
  <c r="I16" i="820"/>
  <c r="I15" i="820"/>
  <c r="I14" i="820"/>
  <c r="I13" i="820"/>
  <c r="I12" i="820"/>
  <c r="I11" i="820"/>
  <c r="I10" i="820"/>
  <c r="I9" i="820"/>
  <c r="I8" i="820"/>
  <c r="I7" i="820"/>
  <c r="I6" i="820"/>
  <c r="I5" i="820"/>
  <c r="I4" i="820"/>
  <c r="I3" i="820"/>
  <c r="H38" i="820"/>
  <c r="H37" i="820"/>
  <c r="H36" i="820"/>
  <c r="H35" i="820"/>
  <c r="H34" i="820"/>
  <c r="H33" i="820"/>
  <c r="H32" i="820"/>
  <c r="H31" i="820"/>
  <c r="H30" i="820"/>
  <c r="H29" i="820"/>
  <c r="H28" i="820"/>
  <c r="H27" i="820"/>
  <c r="H26" i="820"/>
  <c r="H25" i="820"/>
  <c r="H24" i="820"/>
  <c r="H23" i="820"/>
  <c r="H22" i="820"/>
  <c r="H21" i="820"/>
  <c r="H20" i="820"/>
  <c r="H19" i="820"/>
  <c r="H18" i="820"/>
  <c r="H17" i="820"/>
  <c r="H16" i="820"/>
  <c r="H15" i="820"/>
  <c r="H14" i="820"/>
  <c r="H13" i="820"/>
  <c r="H12" i="820"/>
  <c r="H11" i="820"/>
  <c r="H10" i="820"/>
  <c r="H9" i="820"/>
  <c r="H8" i="820"/>
  <c r="H7" i="820"/>
  <c r="H6" i="820"/>
  <c r="H5" i="820"/>
  <c r="H4" i="820"/>
  <c r="H3" i="820"/>
  <c r="G37" i="820"/>
  <c r="G35" i="820"/>
  <c r="G33" i="820"/>
  <c r="G31" i="820"/>
  <c r="G29" i="820"/>
  <c r="G27" i="820"/>
  <c r="G25" i="820"/>
  <c r="G23" i="820"/>
  <c r="G21" i="820"/>
  <c r="G19" i="820"/>
  <c r="G17" i="820"/>
  <c r="G15" i="820"/>
  <c r="G13" i="820"/>
  <c r="G11" i="820"/>
  <c r="G9" i="820"/>
  <c r="G7" i="820"/>
  <c r="G5" i="820"/>
  <c r="G3" i="820"/>
  <c r="G26" i="820"/>
  <c r="G10" i="820"/>
  <c r="J38" i="820"/>
  <c r="J36" i="820"/>
  <c r="J34" i="820"/>
  <c r="J32" i="820"/>
  <c r="J30" i="820"/>
  <c r="J28" i="820"/>
  <c r="J26" i="820"/>
  <c r="J24" i="820"/>
  <c r="J22" i="820"/>
  <c r="J20" i="820"/>
  <c r="J18" i="820"/>
  <c r="J16" i="820"/>
  <c r="J14" i="820"/>
  <c r="J12" i="820"/>
  <c r="J10" i="820"/>
  <c r="J8" i="820"/>
  <c r="J6" i="820"/>
  <c r="J4" i="820"/>
  <c r="G38" i="820"/>
  <c r="G36" i="820"/>
  <c r="G34" i="820"/>
  <c r="G32" i="820"/>
  <c r="G30" i="820"/>
  <c r="G28" i="820"/>
  <c r="G24" i="820"/>
  <c r="G22" i="820"/>
  <c r="G20" i="820"/>
  <c r="G18" i="820"/>
  <c r="G16" i="820"/>
  <c r="G14" i="820"/>
  <c r="G12" i="820"/>
  <c r="G8" i="820"/>
  <c r="G6" i="820"/>
  <c r="G4" i="820"/>
  <c r="J35" i="820"/>
  <c r="J27" i="820"/>
  <c r="J19" i="820"/>
  <c r="J11" i="820"/>
  <c r="J3" i="820"/>
  <c r="J33" i="820"/>
  <c r="J25" i="820"/>
  <c r="J17" i="820"/>
  <c r="J9" i="820"/>
  <c r="J31" i="820"/>
  <c r="J23" i="820"/>
  <c r="J15" i="820"/>
  <c r="J7" i="820"/>
  <c r="J37" i="820"/>
  <c r="J29" i="820"/>
  <c r="J21" i="820"/>
  <c r="J13" i="820"/>
  <c r="J5" i="820"/>
  <c r="F43" i="794"/>
  <c r="H41" i="794"/>
  <c r="G40" i="794"/>
  <c r="F39" i="794"/>
  <c r="H37" i="794"/>
  <c r="G36" i="794"/>
  <c r="F35" i="794"/>
  <c r="H33" i="794"/>
  <c r="G32" i="794"/>
  <c r="F31" i="794"/>
  <c r="H29" i="794"/>
  <c r="G28" i="794"/>
  <c r="F27" i="794"/>
  <c r="H25" i="794"/>
  <c r="G24" i="794"/>
  <c r="F23" i="794"/>
  <c r="H21" i="794"/>
  <c r="G20" i="794"/>
  <c r="F19" i="794"/>
  <c r="H17" i="794"/>
  <c r="G16" i="794"/>
  <c r="F15" i="794"/>
  <c r="H13" i="794"/>
  <c r="G12" i="794"/>
  <c r="F11" i="794"/>
  <c r="H9" i="794"/>
  <c r="G8" i="794"/>
  <c r="F7" i="794"/>
  <c r="H5" i="794"/>
  <c r="H42" i="794"/>
  <c r="G41" i="794"/>
  <c r="F40" i="794"/>
  <c r="H38" i="794"/>
  <c r="G37" i="794"/>
  <c r="F36" i="794"/>
  <c r="H34" i="794"/>
  <c r="G33" i="794"/>
  <c r="F32" i="794"/>
  <c r="H30" i="794"/>
  <c r="G29" i="794"/>
  <c r="F28" i="794"/>
  <c r="H26" i="794"/>
  <c r="G25" i="794"/>
  <c r="F24" i="794"/>
  <c r="H22" i="794"/>
  <c r="G21" i="794"/>
  <c r="F20" i="794"/>
  <c r="H18" i="794"/>
  <c r="G17" i="794"/>
  <c r="F16" i="794"/>
  <c r="H14" i="794"/>
  <c r="G13" i="794"/>
  <c r="F12" i="794"/>
  <c r="H10" i="794"/>
  <c r="G9" i="794"/>
  <c r="F8" i="794"/>
  <c r="H6" i="794"/>
  <c r="G5" i="794"/>
  <c r="H43" i="794"/>
  <c r="F41" i="794"/>
  <c r="G38" i="794"/>
  <c r="H35" i="794"/>
  <c r="F33" i="794"/>
  <c r="G30" i="794"/>
  <c r="H27" i="794"/>
  <c r="F25" i="794"/>
  <c r="G22" i="794"/>
  <c r="H19" i="794"/>
  <c r="F17" i="794"/>
  <c r="G14" i="794"/>
  <c r="H11" i="794"/>
  <c r="F9" i="794"/>
  <c r="G6" i="794"/>
  <c r="G43" i="794"/>
  <c r="H40" i="794"/>
  <c r="F38" i="794"/>
  <c r="G35" i="794"/>
  <c r="H32" i="794"/>
  <c r="F30" i="794"/>
  <c r="G27" i="794"/>
  <c r="H24" i="794"/>
  <c r="F22" i="794"/>
  <c r="G19" i="794"/>
  <c r="H16" i="794"/>
  <c r="F14" i="794"/>
  <c r="G11" i="794"/>
  <c r="H8" i="794"/>
  <c r="F6" i="794"/>
  <c r="H39" i="794"/>
  <c r="G34" i="794"/>
  <c r="F29" i="794"/>
  <c r="H23" i="794"/>
  <c r="G18" i="794"/>
  <c r="F13" i="794"/>
  <c r="H7" i="794"/>
  <c r="G39" i="794"/>
  <c r="F34" i="794"/>
  <c r="H28" i="794"/>
  <c r="G23" i="794"/>
  <c r="F18" i="794"/>
  <c r="H12" i="794"/>
  <c r="G7" i="794"/>
  <c r="F37" i="794"/>
  <c r="G26" i="794"/>
  <c r="H15" i="794"/>
  <c r="F5" i="794"/>
  <c r="H36" i="794"/>
  <c r="F26" i="794"/>
  <c r="G15" i="794"/>
  <c r="G42" i="794"/>
  <c r="H31" i="794"/>
  <c r="F21" i="794"/>
  <c r="G10" i="794"/>
  <c r="H20" i="794"/>
  <c r="F10" i="794"/>
  <c r="F42" i="794"/>
  <c r="G31" i="794"/>
  <c r="M13" i="793"/>
  <c r="L13" i="793"/>
  <c r="K13" i="793"/>
  <c r="M8" i="819"/>
  <c r="M7" i="819"/>
  <c r="M9" i="819"/>
  <c r="AQ10" i="826"/>
  <c r="C8" i="298"/>
  <c r="C7" i="298"/>
  <c r="C6" i="298"/>
  <c r="C5" i="298"/>
  <c r="A8" i="298"/>
  <c r="D6" i="298"/>
  <c r="B5" i="298"/>
  <c r="D7" i="298"/>
  <c r="B6" i="298"/>
  <c r="A5" i="298"/>
  <c r="D8" i="298"/>
  <c r="A6" i="298"/>
  <c r="B7" i="298"/>
  <c r="B8" i="298"/>
  <c r="D5" i="298"/>
  <c r="A7" i="298"/>
  <c r="L30" i="591"/>
  <c r="L26" i="591"/>
  <c r="L22" i="591"/>
  <c r="L18" i="591"/>
  <c r="L14" i="591"/>
  <c r="L10" i="591"/>
  <c r="L6" i="591"/>
  <c r="L29" i="591"/>
  <c r="L25" i="591"/>
  <c r="L21" i="591"/>
  <c r="L17" i="591"/>
  <c r="L13" i="591"/>
  <c r="L9" i="591"/>
  <c r="L5" i="591"/>
  <c r="L32" i="591"/>
  <c r="L24" i="591"/>
  <c r="L16" i="591"/>
  <c r="L8" i="591"/>
  <c r="L31" i="591"/>
  <c r="L23" i="591"/>
  <c r="L15" i="591"/>
  <c r="L7" i="591"/>
  <c r="L28" i="591"/>
  <c r="L20" i="591"/>
  <c r="L12" i="591"/>
  <c r="L4" i="591"/>
  <c r="L27" i="591"/>
  <c r="L3" i="591"/>
  <c r="L19" i="591"/>
  <c r="L11" i="591"/>
  <c r="U26" i="814"/>
  <c r="U24" i="814"/>
  <c r="U22" i="814"/>
  <c r="U20" i="814"/>
  <c r="U18" i="814"/>
  <c r="U25" i="814"/>
  <c r="T23" i="814"/>
  <c r="T20" i="814"/>
  <c r="T25" i="814"/>
  <c r="T22" i="814"/>
  <c r="U19" i="814"/>
  <c r="U21" i="814"/>
  <c r="T26" i="814"/>
  <c r="T21" i="814"/>
  <c r="T24" i="814"/>
  <c r="T19" i="814"/>
  <c r="T18" i="814"/>
  <c r="U23" i="814"/>
  <c r="I9" i="816"/>
  <c r="E9" i="816"/>
  <c r="H8" i="816"/>
  <c r="K7" i="816"/>
  <c r="G7" i="816"/>
  <c r="J6" i="816"/>
  <c r="F6" i="816"/>
  <c r="I5" i="816"/>
  <c r="E5" i="816"/>
  <c r="H9" i="816"/>
  <c r="J8" i="816"/>
  <c r="E8" i="816"/>
  <c r="F7" i="816"/>
  <c r="H6" i="816"/>
  <c r="J5" i="816"/>
  <c r="G9" i="816"/>
  <c r="I8" i="816"/>
  <c r="J7" i="816"/>
  <c r="E7" i="816"/>
  <c r="G6" i="816"/>
  <c r="H5" i="816"/>
  <c r="F9" i="816"/>
  <c r="I7" i="816"/>
  <c r="E6" i="816"/>
  <c r="K8" i="816"/>
  <c r="H7" i="816"/>
  <c r="K5" i="816"/>
  <c r="K9" i="816"/>
  <c r="G8" i="816"/>
  <c r="K6" i="816"/>
  <c r="G5" i="816"/>
  <c r="F8" i="816"/>
  <c r="F5" i="816"/>
  <c r="J9" i="816"/>
  <c r="I6" i="816"/>
  <c r="L5" i="820"/>
  <c r="L4" i="820"/>
  <c r="L6" i="820"/>
  <c r="I6" i="821"/>
  <c r="I5" i="821"/>
  <c r="I4" i="821"/>
  <c r="H6" i="821"/>
  <c r="H5" i="821"/>
  <c r="H4" i="821"/>
  <c r="K5" i="821"/>
  <c r="J5" i="821"/>
  <c r="K6" i="821"/>
  <c r="K4" i="821"/>
  <c r="J6" i="821"/>
  <c r="J4" i="821"/>
  <c r="AQ11" i="826"/>
  <c r="AQ13" i="826"/>
  <c r="W28" i="297"/>
  <c r="W27" i="297"/>
  <c r="W26" i="297"/>
  <c r="W25" i="297"/>
  <c r="X28" i="297"/>
  <c r="Z26" i="297"/>
  <c r="Y25" i="297"/>
  <c r="Z27" i="297"/>
  <c r="Y26" i="297"/>
  <c r="X25" i="297"/>
  <c r="Y27" i="297"/>
  <c r="X27" i="297"/>
  <c r="Z28" i="297"/>
  <c r="X26" i="297"/>
  <c r="Z25" i="297"/>
  <c r="Y28" i="297"/>
  <c r="Z67" i="795"/>
  <c r="Z65" i="795"/>
  <c r="Z63" i="795"/>
  <c r="Z61" i="795"/>
  <c r="Z59" i="795"/>
  <c r="Z57" i="795"/>
  <c r="Z55" i="795"/>
  <c r="AA65" i="795"/>
  <c r="AA62" i="795"/>
  <c r="Z60" i="795"/>
  <c r="AA57" i="795"/>
  <c r="AA54" i="795"/>
  <c r="AA67" i="795"/>
  <c r="AA64" i="795"/>
  <c r="Z62" i="795"/>
  <c r="AA59" i="795"/>
  <c r="AA56" i="795"/>
  <c r="Z54" i="795"/>
  <c r="AA66" i="795"/>
  <c r="AA61" i="795"/>
  <c r="Z56" i="795"/>
  <c r="Z66" i="795"/>
  <c r="AA60" i="795"/>
  <c r="AA55" i="795"/>
  <c r="Z64" i="795"/>
  <c r="AA63" i="795"/>
  <c r="AA58" i="795"/>
  <c r="Z58" i="795"/>
  <c r="G38" i="818"/>
  <c r="G37" i="818"/>
  <c r="G36" i="818"/>
  <c r="G35" i="818"/>
  <c r="G34" i="818"/>
  <c r="G33" i="818"/>
  <c r="G32" i="818"/>
  <c r="G31" i="818"/>
  <c r="G30" i="818"/>
  <c r="G29" i="818"/>
  <c r="G28" i="818"/>
  <c r="G27" i="818"/>
  <c r="G26" i="818"/>
  <c r="G25" i="818"/>
  <c r="G24" i="818"/>
  <c r="G23" i="818"/>
  <c r="G22" i="818"/>
  <c r="G21" i="818"/>
  <c r="G20" i="818"/>
  <c r="G19" i="818"/>
  <c r="G18" i="818"/>
  <c r="G17" i="818"/>
  <c r="G16" i="818"/>
  <c r="G15" i="818"/>
  <c r="G14" i="818"/>
  <c r="G13" i="818"/>
  <c r="G12" i="818"/>
  <c r="G11" i="818"/>
  <c r="G10" i="818"/>
  <c r="G9" i="818"/>
  <c r="G8" i="818"/>
  <c r="G7" i="818"/>
  <c r="G6" i="818"/>
  <c r="G5" i="818"/>
  <c r="G4" i="818"/>
  <c r="G3" i="818"/>
  <c r="J38" i="818"/>
  <c r="J37" i="818"/>
  <c r="J36" i="818"/>
  <c r="J35" i="818"/>
  <c r="J34" i="818"/>
  <c r="J33" i="818"/>
  <c r="J32" i="818"/>
  <c r="J31" i="818"/>
  <c r="J30" i="818"/>
  <c r="J29" i="818"/>
  <c r="J28" i="818"/>
  <c r="J27" i="818"/>
  <c r="J26" i="818"/>
  <c r="J25" i="818"/>
  <c r="J24" i="818"/>
  <c r="J23" i="818"/>
  <c r="J22" i="818"/>
  <c r="J21" i="818"/>
  <c r="J20" i="818"/>
  <c r="J19" i="818"/>
  <c r="J18" i="818"/>
  <c r="J17" i="818"/>
  <c r="J16" i="818"/>
  <c r="J15" i="818"/>
  <c r="J14" i="818"/>
  <c r="J13" i="818"/>
  <c r="J12" i="818"/>
  <c r="J11" i="818"/>
  <c r="J10" i="818"/>
  <c r="J9" i="818"/>
  <c r="J8" i="818"/>
  <c r="J7" i="818"/>
  <c r="J6" i="818"/>
  <c r="J5" i="818"/>
  <c r="J4" i="818"/>
  <c r="J3" i="818"/>
  <c r="I37" i="818"/>
  <c r="I35" i="818"/>
  <c r="I33" i="818"/>
  <c r="I31" i="818"/>
  <c r="I29" i="818"/>
  <c r="I27" i="818"/>
  <c r="I25" i="818"/>
  <c r="I23" i="818"/>
  <c r="I21" i="818"/>
  <c r="I19" i="818"/>
  <c r="I17" i="818"/>
  <c r="I15" i="818"/>
  <c r="I13" i="818"/>
  <c r="I11" i="818"/>
  <c r="I9" i="818"/>
  <c r="I7" i="818"/>
  <c r="I5" i="818"/>
  <c r="I3" i="818"/>
  <c r="H37" i="818"/>
  <c r="H35" i="818"/>
  <c r="H33" i="818"/>
  <c r="H31" i="818"/>
  <c r="H29" i="818"/>
  <c r="H27" i="818"/>
  <c r="H25" i="818"/>
  <c r="H23" i="818"/>
  <c r="H21" i="818"/>
  <c r="H19" i="818"/>
  <c r="H17" i="818"/>
  <c r="H15" i="818"/>
  <c r="H13" i="818"/>
  <c r="H11" i="818"/>
  <c r="H9" i="818"/>
  <c r="H7" i="818"/>
  <c r="H5" i="818"/>
  <c r="H3" i="818"/>
  <c r="I36" i="818"/>
  <c r="I32" i="818"/>
  <c r="I28" i="818"/>
  <c r="I24" i="818"/>
  <c r="I20" i="818"/>
  <c r="I16" i="818"/>
  <c r="I12" i="818"/>
  <c r="I8" i="818"/>
  <c r="I4" i="818"/>
  <c r="H36" i="818"/>
  <c r="H32" i="818"/>
  <c r="H28" i="818"/>
  <c r="H24" i="818"/>
  <c r="H20" i="818"/>
  <c r="H16" i="818"/>
  <c r="H12" i="818"/>
  <c r="H8" i="818"/>
  <c r="H4" i="818"/>
  <c r="I38" i="818"/>
  <c r="I34" i="818"/>
  <c r="I30" i="818"/>
  <c r="I26" i="818"/>
  <c r="I22" i="818"/>
  <c r="I18" i="818"/>
  <c r="I14" i="818"/>
  <c r="I10" i="818"/>
  <c r="I6" i="818"/>
  <c r="H38" i="818"/>
  <c r="H26" i="818"/>
  <c r="H14" i="818"/>
  <c r="H6" i="818"/>
  <c r="H34" i="818"/>
  <c r="H30" i="818"/>
  <c r="H22" i="818"/>
  <c r="H18" i="818"/>
  <c r="H10" i="818"/>
  <c r="N10" i="818"/>
  <c r="N13" i="818"/>
  <c r="N12" i="818"/>
  <c r="N11" i="818"/>
  <c r="M7" i="820"/>
  <c r="M9" i="820"/>
  <c r="M8" i="820"/>
  <c r="AQ12" i="826"/>
  <c r="B22" i="298"/>
  <c r="A22" i="298"/>
  <c r="C22" i="298"/>
  <c r="O22" i="723"/>
  <c r="O20" i="723"/>
  <c r="P21" i="723"/>
  <c r="O19" i="723"/>
  <c r="P23" i="723"/>
  <c r="O21" i="723"/>
  <c r="O23" i="723"/>
  <c r="P22" i="723"/>
  <c r="P20" i="723"/>
  <c r="P19" i="723"/>
  <c r="AF6" i="300"/>
  <c r="AF5" i="300"/>
  <c r="AG6" i="300"/>
  <c r="AG5" i="300"/>
  <c r="AO6" i="300"/>
  <c r="AN5" i="300"/>
  <c r="AM7" i="300"/>
  <c r="AM5" i="300"/>
  <c r="AN6" i="300"/>
  <c r="AO7" i="300"/>
  <c r="AM6" i="300"/>
  <c r="AN7" i="300"/>
  <c r="AO5" i="300"/>
  <c r="AT37" i="302"/>
  <c r="AU36" i="302"/>
  <c r="AV35" i="302"/>
  <c r="AR35" i="302"/>
  <c r="AS34" i="302"/>
  <c r="AT33" i="302"/>
  <c r="AS37" i="302"/>
  <c r="AT36" i="302"/>
  <c r="AU35" i="302"/>
  <c r="AV34" i="302"/>
  <c r="AR34" i="302"/>
  <c r="AS33" i="302"/>
  <c r="AV37" i="302"/>
  <c r="AS36" i="302"/>
  <c r="AU34" i="302"/>
  <c r="AR33" i="302"/>
  <c r="AU37" i="302"/>
  <c r="AR36" i="302"/>
  <c r="AT34" i="302"/>
  <c r="AR37" i="302"/>
  <c r="AV33" i="302"/>
  <c r="AV36" i="302"/>
  <c r="AU33" i="302"/>
  <c r="AT35" i="302"/>
  <c r="AS35" i="302"/>
  <c r="J9" i="303"/>
  <c r="K8" i="303"/>
  <c r="G8" i="303"/>
  <c r="G9" i="303"/>
  <c r="K7" i="303"/>
  <c r="G7" i="303"/>
  <c r="H6" i="303"/>
  <c r="I5" i="303"/>
  <c r="K9" i="303"/>
  <c r="J8" i="303"/>
  <c r="J7" i="303"/>
  <c r="K6" i="303"/>
  <c r="G6" i="303"/>
  <c r="H5" i="303"/>
  <c r="I8" i="303"/>
  <c r="J6" i="303"/>
  <c r="G5" i="303"/>
  <c r="H8" i="303"/>
  <c r="I6" i="303"/>
  <c r="I9" i="303"/>
  <c r="K5" i="303"/>
  <c r="H9" i="303"/>
  <c r="J5" i="303"/>
  <c r="I7" i="303"/>
  <c r="H7" i="303"/>
  <c r="K20" i="793"/>
  <c r="M20" i="793"/>
  <c r="L20" i="793"/>
  <c r="O16" i="619"/>
  <c r="N16" i="619"/>
  <c r="P16" i="619"/>
  <c r="M16" i="619"/>
  <c r="M9" i="817"/>
  <c r="M8" i="817"/>
  <c r="M7" i="817"/>
  <c r="L6" i="818"/>
  <c r="L5" i="818"/>
  <c r="L4" i="818"/>
  <c r="J38" i="819"/>
  <c r="J37" i="819"/>
  <c r="J36" i="819"/>
  <c r="J35" i="819"/>
  <c r="J34" i="819"/>
  <c r="J33" i="819"/>
  <c r="J32" i="819"/>
  <c r="J31" i="819"/>
  <c r="J30" i="819"/>
  <c r="J29" i="819"/>
  <c r="J28" i="819"/>
  <c r="J27" i="819"/>
  <c r="J26" i="819"/>
  <c r="J25" i="819"/>
  <c r="J24" i="819"/>
  <c r="J23" i="819"/>
  <c r="J22" i="819"/>
  <c r="J21" i="819"/>
  <c r="J20" i="819"/>
  <c r="J19" i="819"/>
  <c r="J18" i="819"/>
  <c r="J17" i="819"/>
  <c r="J16" i="819"/>
  <c r="J15" i="819"/>
  <c r="J14" i="819"/>
  <c r="J13" i="819"/>
  <c r="J12" i="819"/>
  <c r="J11" i="819"/>
  <c r="J10" i="819"/>
  <c r="J9" i="819"/>
  <c r="J8" i="819"/>
  <c r="J7" i="819"/>
  <c r="J6" i="819"/>
  <c r="J5" i="819"/>
  <c r="J4" i="819"/>
  <c r="J3" i="819"/>
  <c r="I38" i="819"/>
  <c r="I37" i="819"/>
  <c r="I36" i="819"/>
  <c r="I35" i="819"/>
  <c r="I34" i="819"/>
  <c r="I33" i="819"/>
  <c r="I32" i="819"/>
  <c r="I31" i="819"/>
  <c r="I30" i="819"/>
  <c r="I29" i="819"/>
  <c r="I28" i="819"/>
  <c r="I27" i="819"/>
  <c r="I26" i="819"/>
  <c r="I25" i="819"/>
  <c r="I24" i="819"/>
  <c r="I23" i="819"/>
  <c r="I22" i="819"/>
  <c r="I21" i="819"/>
  <c r="I20" i="819"/>
  <c r="I19" i="819"/>
  <c r="I18" i="819"/>
  <c r="I17" i="819"/>
  <c r="I16" i="819"/>
  <c r="I15" i="819"/>
  <c r="I14" i="819"/>
  <c r="I13" i="819"/>
  <c r="I12" i="819"/>
  <c r="I11" i="819"/>
  <c r="I10" i="819"/>
  <c r="I9" i="819"/>
  <c r="I8" i="819"/>
  <c r="I7" i="819"/>
  <c r="I6" i="819"/>
  <c r="I5" i="819"/>
  <c r="I4" i="819"/>
  <c r="I3" i="819"/>
  <c r="H37" i="819"/>
  <c r="H35" i="819"/>
  <c r="H33" i="819"/>
  <c r="H31" i="819"/>
  <c r="H29" i="819"/>
  <c r="H27" i="819"/>
  <c r="H25" i="819"/>
  <c r="H23" i="819"/>
  <c r="H21" i="819"/>
  <c r="H19" i="819"/>
  <c r="H17" i="819"/>
  <c r="H15" i="819"/>
  <c r="H13" i="819"/>
  <c r="H11" i="819"/>
  <c r="H9" i="819"/>
  <c r="H7" i="819"/>
  <c r="H5" i="819"/>
  <c r="H3" i="819"/>
  <c r="G37" i="819"/>
  <c r="G35" i="819"/>
  <c r="G33" i="819"/>
  <c r="G31" i="819"/>
  <c r="G29" i="819"/>
  <c r="G27" i="819"/>
  <c r="G25" i="819"/>
  <c r="G23" i="819"/>
  <c r="G21" i="819"/>
  <c r="G19" i="819"/>
  <c r="G17" i="819"/>
  <c r="G15" i="819"/>
  <c r="G13" i="819"/>
  <c r="G11" i="819"/>
  <c r="G9" i="819"/>
  <c r="G7" i="819"/>
  <c r="G5" i="819"/>
  <c r="G3" i="819"/>
  <c r="H38" i="819"/>
  <c r="H36" i="819"/>
  <c r="H34" i="819"/>
  <c r="H32" i="819"/>
  <c r="G38" i="819"/>
  <c r="H30" i="819"/>
  <c r="H26" i="819"/>
  <c r="H22" i="819"/>
  <c r="H18" i="819"/>
  <c r="H14" i="819"/>
  <c r="H10" i="819"/>
  <c r="H6" i="819"/>
  <c r="G36" i="819"/>
  <c r="G30" i="819"/>
  <c r="G26" i="819"/>
  <c r="G22" i="819"/>
  <c r="G18" i="819"/>
  <c r="G14" i="819"/>
  <c r="G10" i="819"/>
  <c r="G6" i="819"/>
  <c r="G34" i="819"/>
  <c r="H28" i="819"/>
  <c r="H24" i="819"/>
  <c r="H20" i="819"/>
  <c r="H16" i="819"/>
  <c r="H12" i="819"/>
  <c r="H8" i="819"/>
  <c r="H4" i="819"/>
  <c r="G16" i="819"/>
  <c r="G32" i="819"/>
  <c r="G28" i="819"/>
  <c r="G24" i="819"/>
  <c r="G20" i="819"/>
  <c r="G12" i="819"/>
  <c r="G8" i="819"/>
  <c r="G4" i="819"/>
  <c r="N13" i="819"/>
  <c r="N12" i="819"/>
  <c r="N11" i="819"/>
  <c r="N10" i="819"/>
  <c r="AQ15" i="826"/>
  <c r="AL31" i="300"/>
  <c r="AN30" i="300"/>
  <c r="AJ30" i="300"/>
  <c r="AL29" i="300"/>
  <c r="AN28" i="300"/>
  <c r="AJ28" i="300"/>
  <c r="AL27" i="300"/>
  <c r="AN26" i="300"/>
  <c r="AJ26" i="300"/>
  <c r="AK31" i="300"/>
  <c r="AL30" i="300"/>
  <c r="AM29" i="300"/>
  <c r="AM28" i="300"/>
  <c r="AN27" i="300"/>
  <c r="AO26" i="300"/>
  <c r="AO31" i="300"/>
  <c r="AJ31" i="300"/>
  <c r="AK30" i="300"/>
  <c r="AK29" i="300"/>
  <c r="AL28" i="300"/>
  <c r="AM27" i="300"/>
  <c r="AM26" i="300"/>
  <c r="AN31" i="300"/>
  <c r="AO29" i="300"/>
  <c r="AK28" i="300"/>
  <c r="AL26" i="300"/>
  <c r="AM31" i="300"/>
  <c r="AN29" i="300"/>
  <c r="AO27" i="300"/>
  <c r="AK26" i="300"/>
  <c r="AO30" i="300"/>
  <c r="AJ29" i="300"/>
  <c r="AK27" i="300"/>
  <c r="AM30" i="300"/>
  <c r="AO28" i="300"/>
  <c r="AJ27" i="300"/>
  <c r="AS10" i="302"/>
  <c r="AT9" i="302"/>
  <c r="AU8" i="302"/>
  <c r="AV7" i="302"/>
  <c r="AR7" i="302"/>
  <c r="AS6" i="302"/>
  <c r="AV10" i="302"/>
  <c r="AR10" i="302"/>
  <c r="AS9" i="302"/>
  <c r="AU10" i="302"/>
  <c r="AR9" i="302"/>
  <c r="AR8" i="302"/>
  <c r="AV6" i="302"/>
  <c r="AT10" i="302"/>
  <c r="AV8" i="302"/>
  <c r="AU7" i="302"/>
  <c r="AU6" i="302"/>
  <c r="AT8" i="302"/>
  <c r="AT6" i="302"/>
  <c r="AS8" i="302"/>
  <c r="AR6" i="302"/>
  <c r="AV9" i="302"/>
  <c r="AT7" i="302"/>
  <c r="AU9" i="302"/>
  <c r="AS7" i="302"/>
  <c r="AA145" i="795"/>
  <c r="AA143" i="795"/>
  <c r="AA141" i="795"/>
  <c r="AA139" i="795"/>
  <c r="AA137" i="795"/>
  <c r="AA135" i="795"/>
  <c r="AA133" i="795"/>
  <c r="AA131" i="795"/>
  <c r="Z145" i="795"/>
  <c r="AA142" i="795"/>
  <c r="Z140" i="795"/>
  <c r="Z137" i="795"/>
  <c r="AA134" i="795"/>
  <c r="Z132" i="795"/>
  <c r="AA144" i="795"/>
  <c r="Z142" i="795"/>
  <c r="Z139" i="795"/>
  <c r="AA136" i="795"/>
  <c r="Z134" i="795"/>
  <c r="Z131" i="795"/>
  <c r="AA146" i="795"/>
  <c r="Z141" i="795"/>
  <c r="Z136" i="795"/>
  <c r="Z146" i="795"/>
  <c r="AA140" i="795"/>
  <c r="Z135" i="795"/>
  <c r="AA138" i="795"/>
  <c r="Z138" i="795"/>
  <c r="Z144" i="795"/>
  <c r="Z133" i="795"/>
  <c r="Z143" i="795"/>
  <c r="AA132" i="795"/>
  <c r="AV28" i="302"/>
  <c r="AR28" i="302"/>
  <c r="AS27" i="302"/>
  <c r="AT26" i="302"/>
  <c r="AU25" i="302"/>
  <c r="AV24" i="302"/>
  <c r="AR24" i="302"/>
  <c r="AU28" i="302"/>
  <c r="AV27" i="302"/>
  <c r="AR27" i="302"/>
  <c r="AS26" i="302"/>
  <c r="AT25" i="302"/>
  <c r="AU24" i="302"/>
  <c r="AT28" i="302"/>
  <c r="AV26" i="302"/>
  <c r="AS25" i="302"/>
  <c r="AS28" i="302"/>
  <c r="AU26" i="302"/>
  <c r="AR25" i="302"/>
  <c r="AU27" i="302"/>
  <c r="AT24" i="302"/>
  <c r="AT27" i="302"/>
  <c r="AS24" i="302"/>
  <c r="AR26" i="302"/>
  <c r="AV25" i="302"/>
  <c r="AH24" i="590"/>
  <c r="AJ23" i="590"/>
  <c r="AF23" i="590"/>
  <c r="AH22" i="590"/>
  <c r="AJ21" i="590"/>
  <c r="AF21" i="590"/>
  <c r="AH20" i="590"/>
  <c r="AJ19" i="590"/>
  <c r="AF19" i="590"/>
  <c r="AH18" i="590"/>
  <c r="AJ17" i="590"/>
  <c r="AF17" i="590"/>
  <c r="AH16" i="590"/>
  <c r="AJ15" i="590"/>
  <c r="AF15" i="590"/>
  <c r="AH14" i="590"/>
  <c r="AJ13" i="590"/>
  <c r="AF13" i="590"/>
  <c r="AH12" i="590"/>
  <c r="AJ11" i="590"/>
  <c r="AF11" i="590"/>
  <c r="AH10" i="590"/>
  <c r="AJ9" i="590"/>
  <c r="AF9" i="590"/>
  <c r="AH8" i="590"/>
  <c r="AJ7" i="590"/>
  <c r="AF7" i="590"/>
  <c r="AH6" i="590"/>
  <c r="AJ5" i="590"/>
  <c r="AF5" i="590"/>
  <c r="AH4" i="590"/>
  <c r="AJ3" i="590"/>
  <c r="AF3" i="590"/>
  <c r="AK24" i="590"/>
  <c r="AG24" i="590"/>
  <c r="AI23" i="590"/>
  <c r="AK22" i="590"/>
  <c r="AG22" i="590"/>
  <c r="AI21" i="590"/>
  <c r="AK20" i="590"/>
  <c r="AG20" i="590"/>
  <c r="AI19" i="590"/>
  <c r="AK18" i="590"/>
  <c r="AG18" i="590"/>
  <c r="AI17" i="590"/>
  <c r="AK16" i="590"/>
  <c r="AG16" i="590"/>
  <c r="AI15" i="590"/>
  <c r="AK14" i="590"/>
  <c r="AG14" i="590"/>
  <c r="AI13" i="590"/>
  <c r="AK12" i="590"/>
  <c r="AG12" i="590"/>
  <c r="AI11" i="590"/>
  <c r="AK10" i="590"/>
  <c r="AG10" i="590"/>
  <c r="AI9" i="590"/>
  <c r="AK8" i="590"/>
  <c r="AG8" i="590"/>
  <c r="AI7" i="590"/>
  <c r="AK6" i="590"/>
  <c r="AG6" i="590"/>
  <c r="AI5" i="590"/>
  <c r="AK4" i="590"/>
  <c r="AG4" i="590"/>
  <c r="AI3" i="590"/>
  <c r="AF24" i="590"/>
  <c r="AJ22" i="590"/>
  <c r="AH21" i="590"/>
  <c r="AF20" i="590"/>
  <c r="AJ18" i="590"/>
  <c r="AH17" i="590"/>
  <c r="AF16" i="590"/>
  <c r="AJ14" i="590"/>
  <c r="AH13" i="590"/>
  <c r="AF12" i="590"/>
  <c r="AJ10" i="590"/>
  <c r="AH9" i="590"/>
  <c r="AF8" i="590"/>
  <c r="AJ6" i="590"/>
  <c r="AH5" i="590"/>
  <c r="AF4" i="590"/>
  <c r="AK23" i="590"/>
  <c r="AI22" i="590"/>
  <c r="AG21" i="590"/>
  <c r="AK19" i="590"/>
  <c r="AI18" i="590"/>
  <c r="AG17" i="590"/>
  <c r="AK15" i="590"/>
  <c r="AI14" i="590"/>
  <c r="AG13" i="590"/>
  <c r="AK11" i="590"/>
  <c r="AI10" i="590"/>
  <c r="AG9" i="590"/>
  <c r="AK7" i="590"/>
  <c r="AI6" i="590"/>
  <c r="AG5" i="590"/>
  <c r="AK3" i="590"/>
  <c r="AJ24" i="590"/>
  <c r="AF22" i="590"/>
  <c r="AH19" i="590"/>
  <c r="AJ16" i="590"/>
  <c r="AF14" i="590"/>
  <c r="AH11" i="590"/>
  <c r="AJ8" i="590"/>
  <c r="AF6" i="590"/>
  <c r="AH3" i="590"/>
  <c r="AI24" i="590"/>
  <c r="AK21" i="590"/>
  <c r="AG19" i="590"/>
  <c r="AI16" i="590"/>
  <c r="AK13" i="590"/>
  <c r="AG11" i="590"/>
  <c r="AI8" i="590"/>
  <c r="AK5" i="590"/>
  <c r="AG3" i="590"/>
  <c r="AH23" i="590"/>
  <c r="AJ20" i="590"/>
  <c r="AF18" i="590"/>
  <c r="AH15" i="590"/>
  <c r="AJ12" i="590"/>
  <c r="AF10" i="590"/>
  <c r="AH7" i="590"/>
  <c r="AJ4" i="590"/>
  <c r="AI20" i="590"/>
  <c r="AK9" i="590"/>
  <c r="AK17" i="590"/>
  <c r="AG7" i="590"/>
  <c r="AG15" i="590"/>
  <c r="AI4" i="590"/>
  <c r="AG23" i="590"/>
  <c r="AI12" i="590"/>
  <c r="E9" i="303"/>
  <c r="A9" i="303"/>
  <c r="B8" i="303"/>
  <c r="C7" i="303"/>
  <c r="D6" i="303"/>
  <c r="E5" i="303"/>
  <c r="A5" i="303"/>
  <c r="D9" i="303"/>
  <c r="E8" i="303"/>
  <c r="A8" i="303"/>
  <c r="B7" i="303"/>
  <c r="C6" i="303"/>
  <c r="D5" i="303"/>
  <c r="D8" i="303"/>
  <c r="A7" i="303"/>
  <c r="C5" i="303"/>
  <c r="C8" i="303"/>
  <c r="E6" i="303"/>
  <c r="B5" i="303"/>
  <c r="E7" i="303"/>
  <c r="D7" i="303"/>
  <c r="C9" i="303"/>
  <c r="B6" i="303"/>
  <c r="B9" i="303"/>
  <c r="A6" i="303"/>
  <c r="Z180" i="795"/>
  <c r="Z178" i="795"/>
  <c r="Z176" i="795"/>
  <c r="Z174" i="795"/>
  <c r="Z172" i="795"/>
  <c r="Z170" i="795"/>
  <c r="Z168" i="795"/>
  <c r="Z166" i="795"/>
  <c r="AA179" i="795"/>
  <c r="Z177" i="795"/>
  <c r="AA174" i="795"/>
  <c r="AA171" i="795"/>
  <c r="Z169" i="795"/>
  <c r="AA166" i="795"/>
  <c r="AA181" i="795"/>
  <c r="Z179" i="795"/>
  <c r="AA176" i="795"/>
  <c r="AA173" i="795"/>
  <c r="Z171" i="795"/>
  <c r="AA168" i="795"/>
  <c r="AA178" i="795"/>
  <c r="Z173" i="795"/>
  <c r="AA167" i="795"/>
  <c r="AA177" i="795"/>
  <c r="AA172" i="795"/>
  <c r="Z167" i="795"/>
  <c r="Z181" i="795"/>
  <c r="AA170" i="795"/>
  <c r="AA180" i="795"/>
  <c r="AA169" i="795"/>
  <c r="AA175" i="795"/>
  <c r="Z175" i="795"/>
  <c r="M20" i="794"/>
  <c r="L20" i="794"/>
  <c r="K20" i="794"/>
  <c r="H20" i="793"/>
  <c r="H19" i="793"/>
  <c r="H18" i="793"/>
  <c r="H17" i="793"/>
  <c r="H16" i="793"/>
  <c r="H15" i="793"/>
  <c r="G19" i="793"/>
  <c r="F18" i="793"/>
  <c r="E17" i="793"/>
  <c r="G15" i="793"/>
  <c r="G14" i="793"/>
  <c r="G13" i="793"/>
  <c r="G12" i="793"/>
  <c r="G11" i="793"/>
  <c r="G10" i="793"/>
  <c r="G9" i="793"/>
  <c r="G8" i="793"/>
  <c r="G7" i="793"/>
  <c r="G6" i="793"/>
  <c r="G5" i="793"/>
  <c r="G20" i="793"/>
  <c r="F19" i="793"/>
  <c r="E18" i="793"/>
  <c r="G16" i="793"/>
  <c r="F15" i="793"/>
  <c r="F14" i="793"/>
  <c r="F13" i="793"/>
  <c r="F12" i="793"/>
  <c r="F11" i="793"/>
  <c r="F10" i="793"/>
  <c r="F9" i="793"/>
  <c r="F8" i="793"/>
  <c r="F7" i="793"/>
  <c r="F6" i="793"/>
  <c r="F5" i="793"/>
  <c r="F20" i="793"/>
  <c r="G17" i="793"/>
  <c r="E15" i="793"/>
  <c r="E13" i="793"/>
  <c r="E11" i="793"/>
  <c r="E9" i="793"/>
  <c r="E7" i="793"/>
  <c r="E5" i="793"/>
  <c r="E20" i="793"/>
  <c r="F17" i="793"/>
  <c r="H14" i="793"/>
  <c r="H12" i="793"/>
  <c r="H10" i="793"/>
  <c r="H8" i="793"/>
  <c r="H6" i="793"/>
  <c r="F16" i="793"/>
  <c r="E12" i="793"/>
  <c r="E8" i="793"/>
  <c r="E16" i="793"/>
  <c r="H11" i="793"/>
  <c r="H7" i="793"/>
  <c r="E14" i="793"/>
  <c r="E6" i="793"/>
  <c r="H13" i="793"/>
  <c r="H5" i="793"/>
  <c r="E19" i="793"/>
  <c r="E10" i="793"/>
  <c r="H9" i="793"/>
  <c r="G18" i="793"/>
  <c r="J23" i="793"/>
  <c r="J22" i="793"/>
  <c r="J21" i="793"/>
  <c r="Q14" i="765"/>
  <c r="P13" i="765"/>
  <c r="R11" i="765"/>
  <c r="P14" i="765"/>
  <c r="R12" i="765"/>
  <c r="Q11" i="765"/>
  <c r="Q12" i="765"/>
  <c r="R14" i="765"/>
  <c r="P12" i="765"/>
  <c r="R13" i="765"/>
  <c r="Q13" i="765"/>
  <c r="P11" i="765"/>
  <c r="AA43" i="290"/>
  <c r="AB44" i="290"/>
  <c r="AB42" i="290"/>
  <c r="AA44" i="290"/>
  <c r="AB43" i="290"/>
  <c r="AA42" i="290"/>
  <c r="H53" i="479"/>
  <c r="I54" i="479"/>
  <c r="I52" i="479"/>
  <c r="H54" i="479"/>
  <c r="I53" i="479"/>
  <c r="H52" i="479"/>
  <c r="K33" i="297"/>
  <c r="K32" i="297"/>
  <c r="K31" i="297"/>
  <c r="K30" i="297"/>
  <c r="H33" i="297"/>
  <c r="J31" i="297"/>
  <c r="I30" i="297"/>
  <c r="J32" i="297"/>
  <c r="I31" i="297"/>
  <c r="H30" i="297"/>
  <c r="J33" i="297"/>
  <c r="H31" i="297"/>
  <c r="I33" i="297"/>
  <c r="J30" i="297"/>
  <c r="I32" i="297"/>
  <c r="H32" i="297"/>
  <c r="AM42" i="300"/>
  <c r="AJ42" i="300"/>
  <c r="AN42" i="300"/>
  <c r="AL42" i="300"/>
  <c r="AK42" i="300"/>
  <c r="AU19" i="302"/>
  <c r="AV18" i="302"/>
  <c r="AR18" i="302"/>
  <c r="AS17" i="302"/>
  <c r="AT16" i="302"/>
  <c r="AU15" i="302"/>
  <c r="AT19" i="302"/>
  <c r="AU18" i="302"/>
  <c r="AV17" i="302"/>
  <c r="AR17" i="302"/>
  <c r="AS16" i="302"/>
  <c r="AT15" i="302"/>
  <c r="AS19" i="302"/>
  <c r="AU17" i="302"/>
  <c r="AR16" i="302"/>
  <c r="AR19" i="302"/>
  <c r="AT17" i="302"/>
  <c r="AV15" i="302"/>
  <c r="AT18" i="302"/>
  <c r="AS15" i="302"/>
  <c r="AS18" i="302"/>
  <c r="AR15" i="302"/>
  <c r="AV16" i="302"/>
  <c r="AU16" i="302"/>
  <c r="AV19" i="302"/>
  <c r="B17" i="303"/>
  <c r="C16" i="303"/>
  <c r="D15" i="303"/>
  <c r="E14" i="303"/>
  <c r="A14" i="303"/>
  <c r="B13" i="303"/>
  <c r="A17" i="303"/>
  <c r="A16" i="303"/>
  <c r="A15" i="303"/>
  <c r="E13" i="303"/>
  <c r="E17" i="303"/>
  <c r="E16" i="303"/>
  <c r="E15" i="303"/>
  <c r="D14" i="303"/>
  <c r="D13" i="303"/>
  <c r="D17" i="303"/>
  <c r="C15" i="303"/>
  <c r="C13" i="303"/>
  <c r="C17" i="303"/>
  <c r="B15" i="303"/>
  <c r="A13" i="303"/>
  <c r="D16" i="303"/>
  <c r="B16" i="303"/>
  <c r="C14" i="303"/>
  <c r="B14" i="303"/>
  <c r="I45" i="756"/>
  <c r="I43" i="756"/>
  <c r="H45" i="756"/>
  <c r="H43" i="756"/>
  <c r="I44" i="756"/>
  <c r="H44" i="756"/>
  <c r="K6" i="794"/>
  <c r="M6" i="794"/>
  <c r="L6" i="794"/>
  <c r="J7" i="794"/>
  <c r="J9" i="794"/>
  <c r="J8" i="794"/>
  <c r="K13" i="794"/>
  <c r="M13" i="794"/>
  <c r="L13" i="794"/>
  <c r="J14" i="794"/>
  <c r="J16" i="794"/>
  <c r="J15" i="794"/>
  <c r="J21" i="794"/>
  <c r="J23" i="794"/>
  <c r="J22" i="794"/>
  <c r="J9" i="793"/>
  <c r="J7" i="793"/>
  <c r="J8" i="793"/>
  <c r="W7" i="765"/>
  <c r="W6" i="765"/>
  <c r="W8" i="765"/>
  <c r="W5" i="765"/>
  <c r="H57" i="479"/>
  <c r="I58" i="479"/>
  <c r="I56" i="479"/>
  <c r="H58" i="479"/>
  <c r="I57" i="479"/>
  <c r="H56" i="479"/>
  <c r="AA90" i="795"/>
  <c r="AA88" i="795"/>
  <c r="Z90" i="795"/>
  <c r="AA87" i="795"/>
  <c r="AA89" i="795"/>
  <c r="Z87" i="795"/>
  <c r="Z89" i="795"/>
  <c r="Z88" i="795"/>
  <c r="AA91" i="795"/>
  <c r="Z91" i="795"/>
  <c r="AA111" i="795"/>
  <c r="AA110" i="795"/>
  <c r="AA112" i="795"/>
  <c r="Z110" i="795"/>
  <c r="Z112" i="795"/>
  <c r="Z111" i="795"/>
  <c r="AA220" i="795"/>
  <c r="AA218" i="795"/>
  <c r="AA216" i="795"/>
  <c r="AA214" i="795"/>
  <c r="Z220" i="795"/>
  <c r="Z218" i="795"/>
  <c r="Z216" i="795"/>
  <c r="Z214" i="795"/>
  <c r="AA221" i="795"/>
  <c r="AA217" i="795"/>
  <c r="AA213" i="795"/>
  <c r="Z221" i="795"/>
  <c r="Z217" i="795"/>
  <c r="Z213" i="795"/>
  <c r="AA219" i="795"/>
  <c r="Z219" i="795"/>
  <c r="AA215" i="795"/>
  <c r="Z215" i="795"/>
  <c r="AA241" i="795"/>
  <c r="Z241" i="795"/>
  <c r="AA242" i="795"/>
  <c r="Z242" i="795"/>
  <c r="AA240" i="795"/>
  <c r="Z240" i="795"/>
  <c r="M6" i="793"/>
  <c r="L6" i="793"/>
  <c r="K6" i="793"/>
  <c r="J16" i="793"/>
  <c r="J15" i="793"/>
  <c r="J14" i="793"/>
  <c r="I49" i="756"/>
  <c r="I47" i="756"/>
  <c r="H49" i="756"/>
  <c r="H47" i="756"/>
  <c r="I48" i="756"/>
  <c r="H48" i="756"/>
  <c r="S15" i="619"/>
  <c r="V15" i="619"/>
  <c r="U15" i="619"/>
  <c r="T15" i="619"/>
  <c r="N37" i="766"/>
  <c r="M36" i="766"/>
  <c r="L35" i="766"/>
  <c r="N33" i="766"/>
  <c r="M32" i="766"/>
  <c r="L31" i="766"/>
  <c r="N29" i="766"/>
  <c r="M28" i="766"/>
  <c r="L27" i="766"/>
  <c r="N25" i="766"/>
  <c r="M24" i="766"/>
  <c r="L23" i="766"/>
  <c r="N21" i="766"/>
  <c r="M20" i="766"/>
  <c r="L19" i="766"/>
  <c r="N38" i="766"/>
  <c r="M37" i="766"/>
  <c r="L36" i="766"/>
  <c r="N34" i="766"/>
  <c r="M38" i="766"/>
  <c r="N35" i="766"/>
  <c r="M33" i="766"/>
  <c r="N31" i="766"/>
  <c r="L30" i="766"/>
  <c r="L28" i="766"/>
  <c r="M26" i="766"/>
  <c r="N24" i="766"/>
  <c r="N22" i="766"/>
  <c r="L21" i="766"/>
  <c r="M19" i="766"/>
  <c r="N17" i="766"/>
  <c r="M16" i="766"/>
  <c r="L15" i="766"/>
  <c r="N13" i="766"/>
  <c r="M12" i="766"/>
  <c r="L11" i="766"/>
  <c r="N9" i="766"/>
  <c r="M8" i="766"/>
  <c r="L7" i="766"/>
  <c r="N5" i="766"/>
  <c r="M4" i="766"/>
  <c r="L3" i="766"/>
  <c r="L38" i="766"/>
  <c r="M35" i="766"/>
  <c r="L33" i="766"/>
  <c r="M31" i="766"/>
  <c r="M29" i="766"/>
  <c r="N27" i="766"/>
  <c r="L26" i="766"/>
  <c r="L24" i="766"/>
  <c r="M22" i="766"/>
  <c r="N20" i="766"/>
  <c r="N18" i="766"/>
  <c r="M17" i="766"/>
  <c r="L16" i="766"/>
  <c r="N14" i="766"/>
  <c r="M13" i="766"/>
  <c r="L12" i="766"/>
  <c r="N10" i="766"/>
  <c r="M9" i="766"/>
  <c r="L8" i="766"/>
  <c r="N6" i="766"/>
  <c r="M5" i="766"/>
  <c r="L4" i="766"/>
  <c r="M34" i="766"/>
  <c r="N30" i="766"/>
  <c r="M27" i="766"/>
  <c r="N23" i="766"/>
  <c r="L20" i="766"/>
  <c r="L17" i="766"/>
  <c r="M14" i="766"/>
  <c r="N11" i="766"/>
  <c r="L9" i="766"/>
  <c r="M6" i="766"/>
  <c r="N3" i="766"/>
  <c r="L34" i="766"/>
  <c r="M30" i="766"/>
  <c r="N26" i="766"/>
  <c r="M23" i="766"/>
  <c r="N19" i="766"/>
  <c r="N16" i="766"/>
  <c r="L14" i="766"/>
  <c r="M11" i="766"/>
  <c r="N8" i="766"/>
  <c r="L6" i="766"/>
  <c r="M3" i="766"/>
  <c r="N32" i="766"/>
  <c r="M25" i="766"/>
  <c r="M18" i="766"/>
  <c r="L13" i="766"/>
  <c r="N7" i="766"/>
  <c r="L32" i="766"/>
  <c r="L25" i="766"/>
  <c r="L18" i="766"/>
  <c r="N12" i="766"/>
  <c r="M7" i="766"/>
  <c r="L29" i="766"/>
  <c r="N15" i="766"/>
  <c r="L5" i="766"/>
  <c r="N28" i="766"/>
  <c r="M15" i="766"/>
  <c r="N4" i="766"/>
  <c r="L37" i="766"/>
  <c r="M10" i="766"/>
  <c r="N36" i="766"/>
  <c r="L10" i="766"/>
  <c r="L22" i="766"/>
  <c r="M21" i="766"/>
  <c r="Q7" i="765"/>
  <c r="Q6" i="765"/>
  <c r="Q5" i="765"/>
  <c r="P23" i="765"/>
  <c r="P21" i="765"/>
  <c r="P19" i="765"/>
  <c r="Q22" i="765"/>
  <c r="Q20" i="765"/>
  <c r="Q18" i="765"/>
  <c r="P22" i="765"/>
  <c r="P18" i="765"/>
  <c r="Q21" i="765"/>
  <c r="P20" i="765"/>
  <c r="Q19" i="765"/>
  <c r="Q23" i="765"/>
  <c r="AA39" i="290"/>
  <c r="AB40" i="290"/>
  <c r="AB38" i="290"/>
  <c r="AA38" i="290"/>
  <c r="AA40" i="290"/>
  <c r="AB39" i="290"/>
  <c r="AK9" i="825"/>
  <c r="AJ8" i="825"/>
  <c r="AJ9" i="825"/>
  <c r="AL7" i="825"/>
  <c r="AK7" i="825"/>
  <c r="AL9" i="825"/>
  <c r="AJ7" i="825"/>
  <c r="AL8" i="825"/>
  <c r="AK8" i="825"/>
  <c r="S15" i="620"/>
  <c r="R15" i="620"/>
  <c r="Q15" i="620"/>
  <c r="Y6" i="765"/>
  <c r="Y5" i="765"/>
  <c r="Y8" i="765"/>
  <c r="Y7" i="765"/>
  <c r="AG11" i="290"/>
  <c r="AG9" i="290"/>
  <c r="AF11" i="290"/>
  <c r="AF9" i="290"/>
  <c r="AG10" i="290"/>
  <c r="AF10" i="290"/>
  <c r="AG5" i="765"/>
  <c r="AG8" i="765"/>
  <c r="AG7" i="765"/>
  <c r="AG6" i="765"/>
  <c r="N36" i="765"/>
  <c r="M35" i="765"/>
  <c r="L34" i="765"/>
  <c r="N32" i="765"/>
  <c r="M31" i="765"/>
  <c r="L30" i="765"/>
  <c r="N28" i="765"/>
  <c r="M27" i="765"/>
  <c r="L26" i="765"/>
  <c r="N24" i="765"/>
  <c r="M23" i="765"/>
  <c r="L22" i="765"/>
  <c r="N20" i="765"/>
  <c r="M19" i="765"/>
  <c r="L18" i="765"/>
  <c r="N16" i="765"/>
  <c r="M15" i="765"/>
  <c r="L14" i="765"/>
  <c r="N12" i="765"/>
  <c r="M11" i="765"/>
  <c r="L10" i="765"/>
  <c r="N8" i="765"/>
  <c r="M7" i="765"/>
  <c r="L6" i="765"/>
  <c r="N4" i="765"/>
  <c r="M3" i="765"/>
  <c r="L2" i="765"/>
  <c r="M36" i="765"/>
  <c r="L35" i="765"/>
  <c r="N33" i="765"/>
  <c r="M32" i="765"/>
  <c r="L31" i="765"/>
  <c r="N29" i="765"/>
  <c r="M28" i="765"/>
  <c r="L27" i="765"/>
  <c r="N25" i="765"/>
  <c r="M24" i="765"/>
  <c r="L23" i="765"/>
  <c r="N21" i="765"/>
  <c r="M20" i="765"/>
  <c r="L19" i="765"/>
  <c r="N17" i="765"/>
  <c r="M16" i="765"/>
  <c r="L15" i="765"/>
  <c r="N13" i="765"/>
  <c r="M12" i="765"/>
  <c r="L11" i="765"/>
  <c r="N9" i="765"/>
  <c r="M8" i="765"/>
  <c r="L7" i="765"/>
  <c r="N5" i="765"/>
  <c r="M4" i="765"/>
  <c r="L3" i="765"/>
  <c r="N1" i="765"/>
  <c r="N34" i="765"/>
  <c r="L32" i="765"/>
  <c r="M29" i="765"/>
  <c r="N26" i="765"/>
  <c r="L24" i="765"/>
  <c r="M21" i="765"/>
  <c r="N18" i="765"/>
  <c r="L16" i="765"/>
  <c r="M13" i="765"/>
  <c r="N10" i="765"/>
  <c r="L8" i="765"/>
  <c r="M5" i="765"/>
  <c r="N2" i="765"/>
  <c r="M34" i="765"/>
  <c r="N31" i="765"/>
  <c r="L29" i="765"/>
  <c r="M26" i="765"/>
  <c r="N23" i="765"/>
  <c r="L21" i="765"/>
  <c r="M18" i="765"/>
  <c r="N15" i="765"/>
  <c r="L13" i="765"/>
  <c r="M10" i="765"/>
  <c r="N7" i="765"/>
  <c r="L5" i="765"/>
  <c r="M2" i="765"/>
  <c r="M33" i="765"/>
  <c r="L28" i="765"/>
  <c r="N22" i="765"/>
  <c r="M17" i="765"/>
  <c r="L12" i="765"/>
  <c r="N6" i="765"/>
  <c r="M1" i="765"/>
  <c r="L33" i="765"/>
  <c r="N27" i="765"/>
  <c r="M22" i="765"/>
  <c r="L17" i="765"/>
  <c r="N11" i="765"/>
  <c r="M6" i="765"/>
  <c r="L1" i="765"/>
  <c r="L36" i="765"/>
  <c r="M25" i="765"/>
  <c r="N14" i="765"/>
  <c r="L4" i="765"/>
  <c r="N35" i="765"/>
  <c r="L25" i="765"/>
  <c r="M14" i="765"/>
  <c r="N3" i="765"/>
  <c r="N30" i="765"/>
  <c r="M9" i="765"/>
  <c r="M30" i="765"/>
  <c r="L9" i="765"/>
  <c r="L20" i="765"/>
  <c r="N19" i="765"/>
  <c r="AH8" i="765"/>
  <c r="AH7" i="765"/>
  <c r="AH6" i="765"/>
  <c r="AH5" i="765"/>
  <c r="S18" i="592"/>
  <c r="U13" i="810"/>
  <c r="AA12" i="795"/>
  <c r="U13" i="814"/>
  <c r="P14" i="723"/>
  <c r="AA126" i="795"/>
  <c r="AD13" i="810"/>
  <c r="AA235" i="795"/>
  <c r="AA208" i="795"/>
  <c r="AA161" i="795"/>
  <c r="AA82" i="795"/>
  <c r="AD13" i="814"/>
  <c r="AA49" i="795"/>
  <c r="AA105" i="795"/>
  <c r="N8" i="823" l="1"/>
  <c r="P8" i="824"/>
  <c r="R18" i="592" l="1"/>
  <c r="R17" i="592"/>
  <c r="S17" i="592" l="1"/>
  <c r="AH13" i="825" l="1"/>
  <c r="AF13" i="825"/>
  <c r="AE13" i="825"/>
  <c r="AH12" i="825"/>
  <c r="AF12" i="825"/>
  <c r="AE12" i="825"/>
  <c r="AH11" i="825"/>
  <c r="AF11" i="825"/>
  <c r="AE11" i="825"/>
  <c r="AH6" i="825"/>
  <c r="AF6" i="825"/>
  <c r="AE6" i="825"/>
  <c r="G6" i="825"/>
  <c r="J6" i="825" s="1"/>
  <c r="J7" i="825" s="1"/>
  <c r="AH5" i="825"/>
  <c r="AF5" i="825"/>
  <c r="AE5" i="825"/>
  <c r="W5" i="825"/>
  <c r="X10" i="825" s="1"/>
  <c r="R5" i="825"/>
  <c r="P5" i="825"/>
  <c r="Q10" i="825" s="1"/>
  <c r="A5" i="825"/>
  <c r="A6" i="825" s="1"/>
  <c r="A7" i="825" s="1"/>
  <c r="A8" i="825" s="1"/>
  <c r="A9" i="825" s="1"/>
  <c r="A10" i="825" s="1"/>
  <c r="A11" i="825" s="1"/>
  <c r="A12" i="825" s="1"/>
  <c r="A13" i="825" s="1"/>
  <c r="A14" i="825" s="1"/>
  <c r="A15" i="825" s="1"/>
  <c r="AH4" i="825"/>
  <c r="AF4" i="825"/>
  <c r="AE4" i="825"/>
  <c r="W4" i="825"/>
  <c r="X9" i="825" s="1"/>
  <c r="R4" i="825"/>
  <c r="P4" i="825"/>
  <c r="P11" i="825" s="1"/>
  <c r="W3" i="825"/>
  <c r="W10" i="825" s="1"/>
  <c r="R3" i="825"/>
  <c r="P3" i="825"/>
  <c r="P10" i="825" s="1"/>
  <c r="N3" i="825"/>
  <c r="M3" i="825"/>
  <c r="L3" i="825"/>
  <c r="G7" i="825" l="1"/>
  <c r="J8" i="825"/>
  <c r="AA6" i="825"/>
  <c r="Z6" i="825" s="1"/>
  <c r="AB1" i="825"/>
  <c r="L16" i="825"/>
  <c r="M16" i="825"/>
  <c r="N16" i="825"/>
  <c r="P9" i="825"/>
  <c r="Q11" i="825"/>
  <c r="W11" i="825"/>
  <c r="R6" i="825"/>
  <c r="Q9" i="825"/>
  <c r="W9" i="825"/>
  <c r="X11" i="825"/>
  <c r="G3" i="826"/>
  <c r="H3" i="826"/>
  <c r="I3" i="826"/>
  <c r="J3" i="826"/>
  <c r="K3" i="826"/>
  <c r="V3" i="826"/>
  <c r="W3" i="826"/>
  <c r="X3" i="826"/>
  <c r="Y3" i="826"/>
  <c r="Z3" i="826"/>
  <c r="AE3" i="826" a="1"/>
  <c r="AE5" i="826" s="1"/>
  <c r="AE3" i="826"/>
  <c r="AF3" i="826"/>
  <c r="AN3" i="826" a="1"/>
  <c r="AN4" i="826" s="1"/>
  <c r="AN3" i="826"/>
  <c r="AO3" i="826"/>
  <c r="G4" i="826"/>
  <c r="H4" i="826"/>
  <c r="I4" i="826"/>
  <c r="L4" i="826" s="1"/>
  <c r="J4" i="826"/>
  <c r="K4" i="826"/>
  <c r="AE4" i="826"/>
  <c r="AF4" i="826"/>
  <c r="AO4" i="826"/>
  <c r="AY4" i="826"/>
  <c r="AZ4" i="826"/>
  <c r="BA4" i="826"/>
  <c r="BB4" i="826"/>
  <c r="A5" i="826"/>
  <c r="A6" i="826" s="1"/>
  <c r="G5" i="826"/>
  <c r="H5" i="826"/>
  <c r="I5" i="826"/>
  <c r="J5" i="826"/>
  <c r="L5" i="826" s="1"/>
  <c r="K5" i="826"/>
  <c r="V5" i="826"/>
  <c r="W5" i="826"/>
  <c r="X5" i="826"/>
  <c r="Y5" i="826"/>
  <c r="AA5" i="826" s="1"/>
  <c r="Z5" i="826"/>
  <c r="AF5" i="826"/>
  <c r="AN5" i="826"/>
  <c r="AO5" i="826"/>
  <c r="AY5" i="826"/>
  <c r="AZ5" i="826"/>
  <c r="BA5" i="826"/>
  <c r="BB5" i="826"/>
  <c r="H6" i="826"/>
  <c r="I6" i="826"/>
  <c r="J6" i="826"/>
  <c r="K6" i="826"/>
  <c r="L6" i="826"/>
  <c r="V6" i="826"/>
  <c r="W6" i="826"/>
  <c r="X6" i="826"/>
  <c r="Y6" i="826"/>
  <c r="Z6" i="826"/>
  <c r="AA6" i="826"/>
  <c r="AE6" i="826"/>
  <c r="AF6" i="826"/>
  <c r="AN6" i="826"/>
  <c r="AO6" i="826"/>
  <c r="AY6" i="826"/>
  <c r="AZ6" i="826"/>
  <c r="BA6" i="826"/>
  <c r="BB6" i="826"/>
  <c r="H7" i="826"/>
  <c r="I7" i="826"/>
  <c r="L7" i="826" s="1"/>
  <c r="J7" i="826"/>
  <c r="K7" i="826"/>
  <c r="W7" i="826"/>
  <c r="X7" i="826"/>
  <c r="Y7" i="826"/>
  <c r="Z7" i="826"/>
  <c r="AA7" i="826"/>
  <c r="Q5" i="825" l="1"/>
  <c r="X5" i="825"/>
  <c r="Y5" i="825" s="1"/>
  <c r="Q4" i="825"/>
  <c r="R11" i="825" s="1"/>
  <c r="X4" i="825"/>
  <c r="Y4" i="825" s="1"/>
  <c r="AB6" i="825"/>
  <c r="AC6" i="825" s="1"/>
  <c r="S6" i="825"/>
  <c r="X3" i="825"/>
  <c r="Y3" i="825" s="1"/>
  <c r="Q3" i="825"/>
  <c r="A7" i="826"/>
  <c r="G7" i="826" s="1"/>
  <c r="V7" i="826"/>
  <c r="G6" i="826"/>
  <c r="P6" i="826"/>
  <c r="AJ7" i="826" l="1"/>
  <c r="Y11" i="825"/>
  <c r="Z11" i="825" s="1"/>
  <c r="AA11" i="825" s="1"/>
  <c r="AK4" i="825"/>
  <c r="AM7" i="825" s="1"/>
  <c r="R10" i="825"/>
  <c r="S10" i="825" s="1"/>
  <c r="R9" i="825"/>
  <c r="S9" i="825" s="1"/>
  <c r="S11" i="825"/>
  <c r="Y9" i="825"/>
  <c r="Z9" i="825" s="1"/>
  <c r="AA9" i="825" s="1"/>
  <c r="Y10" i="825"/>
  <c r="Z10" i="825" s="1"/>
  <c r="AA10" i="825" s="1"/>
  <c r="U6" i="825"/>
  <c r="AY7" i="826"/>
  <c r="AZ7" i="826"/>
  <c r="BA7" i="826"/>
  <c r="BB7" i="826"/>
  <c r="A8" i="826"/>
  <c r="V9" i="826" s="1"/>
  <c r="G8" i="826"/>
  <c r="H8" i="826"/>
  <c r="I8" i="826"/>
  <c r="L8" i="826" s="1"/>
  <c r="J8" i="826"/>
  <c r="K8" i="826"/>
  <c r="V8" i="826"/>
  <c r="W8" i="826"/>
  <c r="X8" i="826"/>
  <c r="AA8" i="826" s="1"/>
  <c r="Y8" i="826"/>
  <c r="Z8" i="826"/>
  <c r="AY8" i="826"/>
  <c r="AZ8" i="826"/>
  <c r="BA8" i="826"/>
  <c r="BB8" i="826"/>
  <c r="H9" i="826"/>
  <c r="I9" i="826"/>
  <c r="J9" i="826"/>
  <c r="K9" i="826"/>
  <c r="L9" i="826"/>
  <c r="W9" i="826"/>
  <c r="X9" i="826"/>
  <c r="AA9" i="826" s="1"/>
  <c r="Y9" i="826"/>
  <c r="Z9" i="826"/>
  <c r="AY9" i="826"/>
  <c r="AZ9" i="826"/>
  <c r="BA9" i="826"/>
  <c r="BB9" i="826"/>
  <c r="H10" i="826"/>
  <c r="I10" i="826"/>
  <c r="L10" i="826" s="1"/>
  <c r="J10" i="826"/>
  <c r="K10" i="826"/>
  <c r="W10" i="826"/>
  <c r="X10" i="826"/>
  <c r="AA10" i="826" s="1"/>
  <c r="Y10" i="826"/>
  <c r="Z10" i="826"/>
  <c r="AE10" i="826"/>
  <c r="AF10" i="826"/>
  <c r="AG10" i="826"/>
  <c r="AJ10" i="826" s="1"/>
  <c r="AH10" i="826"/>
  <c r="AI10" i="826"/>
  <c r="AM8" i="825" l="1"/>
  <c r="AN7" i="825"/>
  <c r="A9" i="826"/>
  <c r="AL10" i="826"/>
  <c r="AN10" i="826"/>
  <c r="AO10" i="826"/>
  <c r="AP10" i="826"/>
  <c r="AM9" i="825" l="1"/>
  <c r="AN9" i="825" s="1"/>
  <c r="AO9" i="825" s="1"/>
  <c r="AN8" i="825"/>
  <c r="V10" i="826"/>
  <c r="G9" i="826"/>
  <c r="A10" i="826"/>
  <c r="G10" i="826" s="1"/>
  <c r="AR10" i="826"/>
  <c r="AW10" i="826" s="1"/>
  <c r="A11" i="826"/>
  <c r="G11" i="826"/>
  <c r="H11" i="826"/>
  <c r="I11" i="826"/>
  <c r="L11" i="826" s="1"/>
  <c r="J11" i="826"/>
  <c r="K11" i="826"/>
  <c r="V11" i="826"/>
  <c r="W11" i="826"/>
  <c r="X11" i="826"/>
  <c r="Y11" i="826"/>
  <c r="Z11" i="826"/>
  <c r="AA11" i="826"/>
  <c r="AE11" i="826"/>
  <c r="AF11" i="826"/>
  <c r="AG11" i="826"/>
  <c r="AH11" i="826"/>
  <c r="AI11" i="826"/>
  <c r="AJ11" i="826"/>
  <c r="AO8" i="825" l="1"/>
  <c r="AO7" i="825" s="1"/>
  <c r="AV10" i="826"/>
  <c r="AS10" i="826" s="1"/>
  <c r="AL11" i="826"/>
  <c r="AN11" i="826"/>
  <c r="AO11" i="826"/>
  <c r="AP11" i="826"/>
  <c r="A12" i="826"/>
  <c r="G12" i="826"/>
  <c r="H12" i="826"/>
  <c r="I12" i="826"/>
  <c r="J12" i="826"/>
  <c r="K12" i="826"/>
  <c r="L12" i="826" s="1"/>
  <c r="AT10" i="826" l="1"/>
  <c r="V12" i="826"/>
  <c r="W12" i="826"/>
  <c r="X12" i="826"/>
  <c r="Y12" i="826"/>
  <c r="Z12" i="826"/>
  <c r="AA12" i="826"/>
  <c r="AE12" i="826"/>
  <c r="AF12" i="826"/>
  <c r="AG12" i="826"/>
  <c r="AI12" i="826" s="1"/>
  <c r="AR11" i="826" l="1"/>
  <c r="AV11" i="826"/>
  <c r="AJ12" i="826"/>
  <c r="AH12" i="826"/>
  <c r="AL12" i="826" s="1"/>
  <c r="AN12" i="826"/>
  <c r="AO12" i="826"/>
  <c r="AP12" i="826"/>
  <c r="A13" i="826"/>
  <c r="G13" i="826"/>
  <c r="H13" i="826"/>
  <c r="I13" i="826"/>
  <c r="L13" i="826" s="1"/>
  <c r="J13" i="826"/>
  <c r="K13" i="826"/>
  <c r="V13" i="826"/>
  <c r="W13" i="826"/>
  <c r="X13" i="826"/>
  <c r="Y13" i="826"/>
  <c r="AA13" i="826" s="1"/>
  <c r="Z13" i="826"/>
  <c r="AE13" i="826"/>
  <c r="AF13" i="826"/>
  <c r="AG13" i="826"/>
  <c r="AH13" i="826"/>
  <c r="AI13" i="826"/>
  <c r="AJ13" i="826"/>
  <c r="AS11" i="826" l="1"/>
  <c r="AT11" i="826"/>
  <c r="AW11" i="826"/>
  <c r="AL13" i="826"/>
  <c r="AN13" i="826"/>
  <c r="AO13" i="826"/>
  <c r="AP13" i="826"/>
  <c r="A14" i="826"/>
  <c r="G14" i="826"/>
  <c r="H14" i="826"/>
  <c r="I14" i="826"/>
  <c r="L14" i="826" s="1"/>
  <c r="J14" i="826"/>
  <c r="K14" i="826"/>
  <c r="V14" i="826"/>
  <c r="W14" i="826"/>
  <c r="X14" i="826"/>
  <c r="Y14" i="826"/>
  <c r="Z14" i="826"/>
  <c r="AA14" i="826"/>
  <c r="AE14" i="826"/>
  <c r="AF14" i="826"/>
  <c r="AG14" i="826"/>
  <c r="AH14" i="826"/>
  <c r="AI14" i="826"/>
  <c r="AJ14" i="826"/>
  <c r="AV12" i="826" l="1"/>
  <c r="AR12" i="826"/>
  <c r="AL14" i="826"/>
  <c r="AN14" i="826"/>
  <c r="AO14" i="826"/>
  <c r="AP14" i="826"/>
  <c r="A15" i="826"/>
  <c r="G15" i="826"/>
  <c r="H15" i="826"/>
  <c r="I15" i="826"/>
  <c r="L15" i="826" s="1"/>
  <c r="J15" i="826"/>
  <c r="K15" i="826"/>
  <c r="V15" i="826"/>
  <c r="W15" i="826"/>
  <c r="X15" i="826"/>
  <c r="Y15" i="826"/>
  <c r="Z15" i="826"/>
  <c r="AA15" i="826"/>
  <c r="AE15" i="826"/>
  <c r="AF15" i="826"/>
  <c r="AG15" i="826"/>
  <c r="AH15" i="826"/>
  <c r="AI15" i="826"/>
  <c r="AJ15" i="826"/>
  <c r="AW12" i="826" l="1"/>
  <c r="AS12" i="826"/>
  <c r="AT12" i="826"/>
  <c r="AR13" i="826"/>
  <c r="AV13" i="826"/>
  <c r="AL15" i="826"/>
  <c r="AN15" i="826"/>
  <c r="AO15" i="826"/>
  <c r="AP15" i="826"/>
  <c r="A16" i="826"/>
  <c r="G16" i="826"/>
  <c r="H16" i="826"/>
  <c r="I16" i="826"/>
  <c r="L16" i="826" s="1"/>
  <c r="J16" i="826"/>
  <c r="K16" i="826"/>
  <c r="V16" i="826"/>
  <c r="W16" i="826"/>
  <c r="X16" i="826"/>
  <c r="Y16" i="826"/>
  <c r="Z16" i="826"/>
  <c r="AA16" i="826"/>
  <c r="A17" i="826"/>
  <c r="G17" i="826" s="1"/>
  <c r="H17" i="826"/>
  <c r="I17" i="826"/>
  <c r="L17" i="826" s="1"/>
  <c r="J17" i="826"/>
  <c r="K17" i="826"/>
  <c r="AT13" i="826" l="1"/>
  <c r="AS13" i="826"/>
  <c r="AW13" i="826"/>
  <c r="AV14" i="826"/>
  <c r="AR14" i="826"/>
  <c r="V17" i="826"/>
  <c r="W17" i="826"/>
  <c r="X17" i="826"/>
  <c r="Y17" i="826"/>
  <c r="Z17" i="826"/>
  <c r="AA17" i="826"/>
  <c r="AA20" i="826" s="1"/>
  <c r="A18" i="826"/>
  <c r="G18" i="826"/>
  <c r="H18" i="826"/>
  <c r="P5" i="826" s="1"/>
  <c r="I18" i="826"/>
  <c r="I20" i="826" s="1"/>
  <c r="J18" i="826"/>
  <c r="K18" i="826"/>
  <c r="V18" i="826"/>
  <c r="W18" i="826"/>
  <c r="X18" i="826"/>
  <c r="Y18" i="826"/>
  <c r="Z18" i="826"/>
  <c r="AA18" i="826"/>
  <c r="J19" i="826"/>
  <c r="K19" i="826"/>
  <c r="V19" i="826"/>
  <c r="W19" i="826"/>
  <c r="X19" i="826"/>
  <c r="AA19" i="826" s="1"/>
  <c r="Y19" i="826"/>
  <c r="Z19" i="826"/>
  <c r="H20" i="826"/>
  <c r="J20" i="826"/>
  <c r="K20" i="826"/>
  <c r="AW14" i="826" l="1"/>
  <c r="AT14" i="826"/>
  <c r="AS14" i="826"/>
  <c r="AR15" i="826"/>
  <c r="AV15" i="826"/>
  <c r="P12" i="826"/>
  <c r="L18" i="826"/>
  <c r="I19" i="826"/>
  <c r="O8" i="826"/>
  <c r="P8" i="826"/>
  <c r="P7" i="826" s="1"/>
  <c r="AA21" i="826"/>
  <c r="AA22" i="826" s="1"/>
  <c r="H19" i="826"/>
  <c r="O6" i="826" s="1"/>
  <c r="AW15" i="826" l="1"/>
  <c r="AS15" i="826"/>
  <c r="AT15" i="826"/>
  <c r="P17" i="826"/>
  <c r="Q6" i="826"/>
  <c r="O12" i="826"/>
  <c r="Q12" i="826" s="1"/>
  <c r="O17" i="826"/>
  <c r="T6" i="826"/>
  <c r="P13" i="826"/>
  <c r="P18" i="826"/>
  <c r="T5" i="826"/>
  <c r="O5" i="826"/>
  <c r="Q5" i="826" s="1"/>
  <c r="L19" i="826"/>
  <c r="L20" i="826"/>
  <c r="V26" i="826"/>
  <c r="W26" i="826"/>
  <c r="X26" i="826"/>
  <c r="Z26" i="826" s="1"/>
  <c r="AA26" i="826" s="1"/>
  <c r="Y26" i="826"/>
  <c r="AC26" i="826" s="1"/>
  <c r="AB26" i="826"/>
  <c r="O32" i="388"/>
  <c r="Q17" i="826" l="1"/>
  <c r="O7" i="826"/>
  <c r="J17" i="765"/>
  <c r="I17" i="765"/>
  <c r="H17" i="765"/>
  <c r="G17" i="765"/>
  <c r="E17" i="765"/>
  <c r="D17" i="765"/>
  <c r="C17" i="765"/>
  <c r="B17" i="765"/>
  <c r="J16" i="765"/>
  <c r="I16" i="765"/>
  <c r="H16" i="765"/>
  <c r="G16" i="765"/>
  <c r="E16" i="765"/>
  <c r="D16" i="765"/>
  <c r="C16" i="765"/>
  <c r="B16" i="765"/>
  <c r="X9" i="765"/>
  <c r="Q7" i="826" l="1"/>
  <c r="O13" i="826"/>
  <c r="Q13" i="826" s="1"/>
  <c r="R12" i="826" s="1"/>
  <c r="O18" i="826"/>
  <c r="Q18" i="826" s="1"/>
  <c r="R17" i="826" s="1"/>
  <c r="J4" i="824"/>
  <c r="K4" i="824" a="1"/>
  <c r="K4" i="824"/>
  <c r="L4" i="824"/>
  <c r="M4" i="824" a="1"/>
  <c r="M4" i="824"/>
  <c r="I5" i="824"/>
  <c r="J5" i="824"/>
  <c r="K5" i="824" a="1"/>
  <c r="K5" i="824"/>
  <c r="L5" i="824"/>
  <c r="M5" i="824" a="1"/>
  <c r="M5" i="824"/>
  <c r="I6" i="824"/>
  <c r="M6" i="824" s="1" a="1"/>
  <c r="M6" i="824" s="1"/>
  <c r="J6" i="824"/>
  <c r="L6" i="824"/>
  <c r="X6" i="824"/>
  <c r="R5" i="826" l="1"/>
  <c r="S5" i="826" s="1"/>
  <c r="R6" i="826"/>
  <c r="S6" i="826" s="1"/>
  <c r="S6" i="765"/>
  <c r="R8" i="765"/>
  <c r="Q8" i="765"/>
  <c r="R5" i="765"/>
  <c r="AJ9" i="765"/>
  <c r="Y3" i="824" a="1"/>
  <c r="AI3" i="824" a="1"/>
  <c r="K6" i="824" a="1"/>
  <c r="K6" i="824" s="1"/>
  <c r="P6" i="824" s="1"/>
  <c r="R6" i="824" s="1"/>
  <c r="Q5" i="824"/>
  <c r="Q6" i="824" s="1"/>
  <c r="P7" i="824"/>
  <c r="R7" i="824" s="1"/>
  <c r="Q7" i="824"/>
  <c r="Q8" i="824"/>
  <c r="R8" i="824" s="1"/>
  <c r="AH9" i="824"/>
  <c r="AI9" i="824"/>
  <c r="AI17" i="765" l="1"/>
  <c r="R7" i="765"/>
  <c r="S5" i="765"/>
  <c r="Z6" i="765"/>
  <c r="AA6" i="765"/>
  <c r="AG16" i="765"/>
  <c r="AH12" i="765"/>
  <c r="AI6" i="765"/>
  <c r="AJ6" i="765"/>
  <c r="AG15" i="765"/>
  <c r="Z5" i="765"/>
  <c r="AA5" i="765"/>
  <c r="AG14" i="765"/>
  <c r="AI5" i="765"/>
  <c r="AG13" i="765"/>
  <c r="AJ5" i="765"/>
  <c r="AG12" i="765"/>
  <c r="Y9" i="765"/>
  <c r="AI16" i="765"/>
  <c r="AI15" i="765"/>
  <c r="AA7" i="765"/>
  <c r="Z7" i="765"/>
  <c r="AH13" i="765"/>
  <c r="AI7" i="765"/>
  <c r="AG17" i="765"/>
  <c r="AH15" i="765"/>
  <c r="AJ7" i="765"/>
  <c r="AI12" i="765"/>
  <c r="AI14" i="765"/>
  <c r="AI13" i="765"/>
  <c r="S7" i="765"/>
  <c r="T6" i="765" s="1"/>
  <c r="U6" i="765" s="1"/>
  <c r="Z8" i="765"/>
  <c r="AA8" i="765"/>
  <c r="AH17" i="765"/>
  <c r="AH16" i="765"/>
  <c r="AJ8" i="765"/>
  <c r="AI8" i="765"/>
  <c r="AH14" i="765"/>
  <c r="AI5" i="824"/>
  <c r="AJ10" i="824" s="1"/>
  <c r="AI3" i="824"/>
  <c r="AI4" i="824"/>
  <c r="Y3" i="824"/>
  <c r="Y5" i="824"/>
  <c r="Y4" i="824"/>
  <c r="P5" i="824"/>
  <c r="R5" i="824" s="1"/>
  <c r="P10" i="824"/>
  <c r="P9" i="824" s="1"/>
  <c r="R9" i="824" s="1"/>
  <c r="AJ6" i="824" s="1"/>
  <c r="Q10" i="824"/>
  <c r="Q9" i="824" s="1"/>
  <c r="AK6" i="824" s="1"/>
  <c r="Y10" i="824"/>
  <c r="AA10" i="824"/>
  <c r="AH10" i="824"/>
  <c r="AI10" i="824"/>
  <c r="AI9" i="765" l="1"/>
  <c r="Z9" i="765"/>
  <c r="AK9" i="765"/>
  <c r="AL9" i="765" s="1"/>
  <c r="AN9" i="765"/>
  <c r="AA9" i="765"/>
  <c r="T5" i="765"/>
  <c r="U5" i="765" s="1"/>
  <c r="AK10" i="824"/>
  <c r="W10" i="824"/>
  <c r="R10" i="824"/>
  <c r="S5" i="824"/>
  <c r="T5" i="824" s="1"/>
  <c r="U5" i="824" s="1"/>
  <c r="S6" i="824"/>
  <c r="T6" i="824" s="1"/>
  <c r="U6" i="824" s="1"/>
  <c r="AM6" i="824"/>
  <c r="AL10" i="824" s="1"/>
  <c r="Y6" i="824"/>
  <c r="S7" i="824"/>
  <c r="T7" i="824" s="1"/>
  <c r="U7" i="824" s="1"/>
  <c r="AJ9" i="824"/>
  <c r="S8" i="824"/>
  <c r="T8" i="824" s="1"/>
  <c r="U8" i="824" s="1"/>
  <c r="AO10" i="824"/>
  <c r="AH11" i="824"/>
  <c r="AI11" i="824"/>
  <c r="AJ11" i="824"/>
  <c r="AK11" i="824" s="1"/>
  <c r="AN17" i="765"/>
  <c r="AN13" i="765"/>
  <c r="AN15" i="765"/>
  <c r="AM9" i="765"/>
  <c r="AO9" i="765"/>
  <c r="AN14" i="765"/>
  <c r="AN16" i="765"/>
  <c r="AN12" i="765"/>
  <c r="W13" i="765"/>
  <c r="AJ15" i="765" l="1"/>
  <c r="AJ12" i="765"/>
  <c r="AJ13" i="765"/>
  <c r="AJ14" i="765"/>
  <c r="AJ17" i="765"/>
  <c r="AJ16" i="765"/>
  <c r="Y13" i="765"/>
  <c r="AA13" i="765" s="1"/>
  <c r="AM9" i="824"/>
  <c r="AK9" i="824"/>
  <c r="AL9" i="824"/>
  <c r="AO9" i="824"/>
  <c r="AM11" i="824"/>
  <c r="AL11" i="824"/>
  <c r="AM10" i="824"/>
  <c r="AC10" i="824"/>
  <c r="AE10" i="824"/>
  <c r="X10" i="824"/>
  <c r="AB10" i="824"/>
  <c r="AO11" i="824"/>
  <c r="H4" i="823"/>
  <c r="I4" i="823"/>
  <c r="J4" i="823"/>
  <c r="K4" i="823"/>
  <c r="W3" i="823" s="1" a="1"/>
  <c r="G5" i="823"/>
  <c r="I5" i="823" s="1"/>
  <c r="H5" i="823"/>
  <c r="K5" i="823"/>
  <c r="G6" i="823"/>
  <c r="H6" i="823" s="1"/>
  <c r="K6" i="823"/>
  <c r="V6" i="823"/>
  <c r="X13" i="765" l="1"/>
  <c r="AC13" i="765"/>
  <c r="AB13" i="765"/>
  <c r="AO14" i="765"/>
  <c r="AK14" i="765"/>
  <c r="AO13" i="765"/>
  <c r="AK13" i="765"/>
  <c r="AO16" i="765"/>
  <c r="AK16" i="765"/>
  <c r="AO12" i="765"/>
  <c r="AK12" i="765"/>
  <c r="AO17" i="765"/>
  <c r="AK17" i="765"/>
  <c r="AO15" i="765"/>
  <c r="AK15" i="765"/>
  <c r="W4" i="823"/>
  <c r="W3" i="823"/>
  <c r="W6" i="823" s="1"/>
  <c r="W5" i="823"/>
  <c r="AG3" i="823" a="1"/>
  <c r="I6" i="823"/>
  <c r="N6" i="823" s="1"/>
  <c r="P6" i="823" s="1"/>
  <c r="J5" i="823"/>
  <c r="AF10" i="824"/>
  <c r="Z10" i="824"/>
  <c r="AD10" i="824" s="1"/>
  <c r="J6" i="823"/>
  <c r="O5" i="823"/>
  <c r="O6" i="823" s="1"/>
  <c r="P8" i="823"/>
  <c r="O8" i="823"/>
  <c r="AF9" i="823"/>
  <c r="AG9" i="823"/>
  <c r="AL17" i="765" l="1"/>
  <c r="AM17" i="765"/>
  <c r="AM14" i="765"/>
  <c r="AL14" i="765"/>
  <c r="AM15" i="765"/>
  <c r="AL15" i="765"/>
  <c r="AM12" i="765"/>
  <c r="AL12" i="765"/>
  <c r="AL13" i="765"/>
  <c r="AM13" i="765"/>
  <c r="AL16" i="765"/>
  <c r="AM16" i="765"/>
  <c r="AE13" i="765"/>
  <c r="Z13" i="765"/>
  <c r="AD13" i="765" s="1"/>
  <c r="N7" i="823"/>
  <c r="P7" i="823" s="1"/>
  <c r="O7" i="823"/>
  <c r="AG5" i="823"/>
  <c r="AG3" i="823"/>
  <c r="AG4" i="823"/>
  <c r="N5" i="823"/>
  <c r="P5" i="823" s="1"/>
  <c r="N10" i="823"/>
  <c r="O10" i="823"/>
  <c r="P10" i="823"/>
  <c r="AF10" i="823"/>
  <c r="AG10" i="823"/>
  <c r="AH10" i="823"/>
  <c r="O9" i="823" l="1"/>
  <c r="N9" i="823"/>
  <c r="P9" i="823" s="1"/>
  <c r="Q5" i="823" s="1"/>
  <c r="R5" i="823" s="1"/>
  <c r="S5" i="823" s="1"/>
  <c r="AH9" i="823"/>
  <c r="AF11" i="823"/>
  <c r="AG11" i="823"/>
  <c r="AH11" i="823"/>
  <c r="AH6" i="823" l="1"/>
  <c r="Q8" i="823"/>
  <c r="R8" i="823" s="1"/>
  <c r="S8" i="823" s="1"/>
  <c r="Q6" i="823"/>
  <c r="R6" i="823" s="1"/>
  <c r="S6" i="823" s="1"/>
  <c r="U10" i="823"/>
  <c r="AC10" i="823"/>
  <c r="AI6" i="823"/>
  <c r="W10" i="823"/>
  <c r="Y10" i="823" s="1"/>
  <c r="AM9" i="823"/>
  <c r="Q7" i="823"/>
  <c r="R7" i="823" s="1"/>
  <c r="S7" i="823" s="1"/>
  <c r="AM10" i="823"/>
  <c r="AM11" i="823"/>
  <c r="G4" i="822"/>
  <c r="I4" i="822"/>
  <c r="B5" i="822"/>
  <c r="F5" i="822"/>
  <c r="G5" i="822" s="1"/>
  <c r="B6" i="822"/>
  <c r="B7" i="822" s="1"/>
  <c r="T7" i="822"/>
  <c r="V10" i="823" l="1"/>
  <c r="Z10" i="823"/>
  <c r="AA10" i="823"/>
  <c r="I5" i="822"/>
  <c r="AK6" i="823"/>
  <c r="AI10" i="823"/>
  <c r="F6" i="822"/>
  <c r="AI9" i="823"/>
  <c r="AI11" i="823"/>
  <c r="B9" i="822"/>
  <c r="L9" i="822"/>
  <c r="M9" i="822"/>
  <c r="N9" i="822"/>
  <c r="B10" i="822"/>
  <c r="AD10" i="822"/>
  <c r="AE10" i="822"/>
  <c r="AD10" i="823" l="1"/>
  <c r="X10" i="823"/>
  <c r="AB10" i="823" s="1"/>
  <c r="G6" i="822"/>
  <c r="F7" i="822"/>
  <c r="I6" i="822"/>
  <c r="AJ10" i="823"/>
  <c r="AK10" i="823"/>
  <c r="AJ9" i="823"/>
  <c r="AJ11" i="823"/>
  <c r="AK9" i="823"/>
  <c r="AK11" i="823"/>
  <c r="B11" i="822"/>
  <c r="AD11" i="822"/>
  <c r="AE11" i="822"/>
  <c r="I7" i="822" l="1"/>
  <c r="AE3" i="822" s="1" a="1"/>
  <c r="G7" i="822"/>
  <c r="M5" i="822"/>
  <c r="L5" i="822" s="1"/>
  <c r="AD12" i="822"/>
  <c r="AE12" i="822"/>
  <c r="N5" i="822" l="1"/>
  <c r="L6" i="822"/>
  <c r="N6" i="822" s="1"/>
  <c r="AE3" i="822"/>
  <c r="AE4" i="822"/>
  <c r="AE5" i="822"/>
  <c r="AE6" i="822"/>
  <c r="U3" i="822" a="1"/>
  <c r="M6" i="822"/>
  <c r="M7" i="822"/>
  <c r="M8" i="822"/>
  <c r="B13" i="822"/>
  <c r="AD13" i="822"/>
  <c r="AE13" i="822"/>
  <c r="AF13" i="822"/>
  <c r="U4" i="822" l="1"/>
  <c r="U5" i="822"/>
  <c r="U3" i="822"/>
  <c r="U6" i="822"/>
  <c r="AF10" i="822"/>
  <c r="AF11" i="822"/>
  <c r="AF12" i="822"/>
  <c r="AG7" i="822"/>
  <c r="U11" i="822"/>
  <c r="W11" i="822" s="1"/>
  <c r="B14" i="822"/>
  <c r="AD14" i="822"/>
  <c r="AE14" i="822"/>
  <c r="AF14" i="822"/>
  <c r="U7" i="822" l="1"/>
  <c r="B15" i="822"/>
  <c r="AD15" i="822"/>
  <c r="AE15" i="822"/>
  <c r="AF15" i="822"/>
  <c r="B17" i="822" l="1"/>
  <c r="B18" i="822"/>
  <c r="B19" i="822" s="1"/>
  <c r="AV17" i="738"/>
  <c r="AU17" i="738"/>
  <c r="AV16" i="738"/>
  <c r="AU16" i="738"/>
  <c r="AV15" i="738"/>
  <c r="AU15" i="738"/>
  <c r="AV14" i="738"/>
  <c r="AU14" i="738"/>
  <c r="AV13" i="738"/>
  <c r="AU13" i="738"/>
  <c r="AV12" i="738"/>
  <c r="AU12" i="738"/>
  <c r="AD11" i="738"/>
  <c r="AE11" i="738" s="1"/>
  <c r="AC11" i="738"/>
  <c r="K11" i="738"/>
  <c r="J11" i="738"/>
  <c r="I11" i="738"/>
  <c r="O5" i="738" s="1"/>
  <c r="H11" i="738"/>
  <c r="AK9" i="738"/>
  <c r="Y9" i="738"/>
  <c r="O9" i="738"/>
  <c r="A9" i="738"/>
  <c r="A10" i="738" s="1"/>
  <c r="A11" i="738" s="1"/>
  <c r="Y8" i="738"/>
  <c r="K8" i="738"/>
  <c r="J8" i="738"/>
  <c r="I8" i="738"/>
  <c r="H8" i="738"/>
  <c r="Z7" i="738" a="1"/>
  <c r="Z7" i="738" s="1"/>
  <c r="Y7" i="738"/>
  <c r="W7" i="738"/>
  <c r="L7" i="738"/>
  <c r="G7" i="738"/>
  <c r="Z6" i="738" a="1"/>
  <c r="Z6" i="738" s="1"/>
  <c r="Y6" i="738"/>
  <c r="P6" i="738"/>
  <c r="P7" i="738" s="1"/>
  <c r="O7" i="738" s="1"/>
  <c r="Q7" i="738" s="1"/>
  <c r="L6" i="738"/>
  <c r="G6" i="738"/>
  <c r="A6" i="738"/>
  <c r="A7" i="738" s="1"/>
  <c r="P5" i="738"/>
  <c r="P9" i="738" s="1"/>
  <c r="L5" i="738"/>
  <c r="L8" i="738" s="1"/>
  <c r="G5" i="738"/>
  <c r="A5" i="738"/>
  <c r="X6" i="738" s="1" a="1"/>
  <c r="X6" i="738" s="1"/>
  <c r="L4" i="738"/>
  <c r="I3" i="738"/>
  <c r="J3" i="738" s="1"/>
  <c r="K3" i="738" s="1"/>
  <c r="D3" i="738"/>
  <c r="E3" i="738" s="1"/>
  <c r="C3" i="738"/>
  <c r="H4" i="822" l="1"/>
  <c r="L7" i="822" s="1"/>
  <c r="H5" i="822"/>
  <c r="H7" i="822"/>
  <c r="H6" i="822"/>
  <c r="X7" i="738" a="1"/>
  <c r="X7" i="738" s="1"/>
  <c r="Q9" i="738"/>
  <c r="Q5" i="738"/>
  <c r="O8" i="738"/>
  <c r="Q8" i="738" s="1"/>
  <c r="R7" i="738" s="1"/>
  <c r="S7" i="738" s="1"/>
  <c r="T7" i="738" s="1"/>
  <c r="O6" i="738"/>
  <c r="Q6" i="738" s="1"/>
  <c r="W8" i="738"/>
  <c r="P8" i="738"/>
  <c r="AG15" i="821"/>
  <c r="AG14" i="821"/>
  <c r="AG13" i="821"/>
  <c r="Z7" i="821"/>
  <c r="Y7" i="821"/>
  <c r="X7" i="821"/>
  <c r="W7" i="821"/>
  <c r="V7" i="821"/>
  <c r="AF6" i="821"/>
  <c r="Z6" i="821"/>
  <c r="Y6" i="821"/>
  <c r="X6" i="821"/>
  <c r="W6" i="821"/>
  <c r="AA6" i="821" s="1"/>
  <c r="V6" i="821"/>
  <c r="G6" i="821"/>
  <c r="AF5" i="821"/>
  <c r="Z5" i="821"/>
  <c r="Y5" i="821"/>
  <c r="X5" i="821"/>
  <c r="W5" i="821"/>
  <c r="V5" i="821"/>
  <c r="G5" i="821"/>
  <c r="AF4" i="821"/>
  <c r="G4" i="821"/>
  <c r="AF3" i="821"/>
  <c r="AE6" i="821"/>
  <c r="AE3" i="821" a="1"/>
  <c r="Z3" i="821"/>
  <c r="Y3" i="821"/>
  <c r="X3" i="821"/>
  <c r="W3" i="821"/>
  <c r="V3" i="821"/>
  <c r="K3" i="821"/>
  <c r="J3" i="821"/>
  <c r="I3" i="821"/>
  <c r="H3" i="821"/>
  <c r="G3" i="821"/>
  <c r="J1" i="821"/>
  <c r="AB7" i="820"/>
  <c r="AM6" i="820"/>
  <c r="AB7" i="819"/>
  <c r="AM6" i="819"/>
  <c r="AB7" i="818"/>
  <c r="AM6" i="818"/>
  <c r="AB7" i="817"/>
  <c r="AM6" i="817"/>
  <c r="AB16" i="741"/>
  <c r="Y16" i="741"/>
  <c r="X16" i="741"/>
  <c r="W16" i="741"/>
  <c r="V16" i="741"/>
  <c r="U16" i="741"/>
  <c r="T16" i="741"/>
  <c r="S16" i="741"/>
  <c r="R16" i="741"/>
  <c r="F16" i="741"/>
  <c r="B16" i="741"/>
  <c r="AB15" i="741"/>
  <c r="AC34" i="741" s="1"/>
  <c r="X15" i="741"/>
  <c r="W15" i="741"/>
  <c r="V15" i="741"/>
  <c r="U15" i="741"/>
  <c r="T15" i="741"/>
  <c r="S15" i="741"/>
  <c r="Y15" i="741" s="1"/>
  <c r="R15" i="741"/>
  <c r="G15" i="741"/>
  <c r="F15" i="741"/>
  <c r="E15" i="741"/>
  <c r="D15" i="741"/>
  <c r="C15" i="741"/>
  <c r="B15" i="741"/>
  <c r="H15" i="741" s="1"/>
  <c r="A15" i="741"/>
  <c r="AB14" i="741"/>
  <c r="AC33" i="741" s="1"/>
  <c r="X14" i="741"/>
  <c r="W14" i="741"/>
  <c r="V14" i="741"/>
  <c r="U14" i="741"/>
  <c r="T14" i="741"/>
  <c r="S14" i="741"/>
  <c r="Y14" i="741" s="1"/>
  <c r="R14" i="741"/>
  <c r="H14" i="741"/>
  <c r="G14" i="741"/>
  <c r="F14" i="741"/>
  <c r="E14" i="741"/>
  <c r="D14" i="741"/>
  <c r="C14" i="741"/>
  <c r="B14" i="741"/>
  <c r="A14" i="741"/>
  <c r="AB13" i="741"/>
  <c r="AC31" i="741" s="1"/>
  <c r="X13" i="741"/>
  <c r="W13" i="741"/>
  <c r="V13" i="741"/>
  <c r="U13" i="741"/>
  <c r="T13" i="741"/>
  <c r="S13" i="741"/>
  <c r="Y13" i="741" s="1"/>
  <c r="R13" i="741"/>
  <c r="G13" i="741"/>
  <c r="G16" i="741" s="1"/>
  <c r="F13" i="741"/>
  <c r="E13" i="741"/>
  <c r="D13" i="741"/>
  <c r="C13" i="741"/>
  <c r="C16" i="741" s="1"/>
  <c r="B13" i="741"/>
  <c r="A13" i="741"/>
  <c r="AB12" i="741"/>
  <c r="AC28" i="741" s="1"/>
  <c r="H12" i="741"/>
  <c r="G12" i="741"/>
  <c r="G17" i="741" s="1"/>
  <c r="F12" i="741"/>
  <c r="F17" i="741" s="1"/>
  <c r="E12" i="741"/>
  <c r="E16" i="741" s="1"/>
  <c r="D12" i="741"/>
  <c r="D17" i="741" s="1"/>
  <c r="C12" i="741"/>
  <c r="C17" i="741" s="1"/>
  <c r="B12" i="741"/>
  <c r="K16" i="741" s="1"/>
  <c r="A12" i="741"/>
  <c r="AB11" i="741"/>
  <c r="T11" i="741"/>
  <c r="S11" i="741"/>
  <c r="R11" i="741"/>
  <c r="C11" i="741"/>
  <c r="B11" i="741"/>
  <c r="A11" i="741"/>
  <c r="C3" i="741"/>
  <c r="D3" i="741" s="1"/>
  <c r="N7" i="822" l="1"/>
  <c r="L8" i="822"/>
  <c r="N8" i="822" s="1"/>
  <c r="W9" i="738"/>
  <c r="Z8" i="738" a="1"/>
  <c r="Z8" i="738" s="1"/>
  <c r="X8" i="738" a="1"/>
  <c r="X8" i="738" s="1"/>
  <c r="R5" i="738"/>
  <c r="S5" i="738" s="1"/>
  <c r="T5" i="738" s="1"/>
  <c r="R6" i="738"/>
  <c r="S6" i="738" s="1"/>
  <c r="T6" i="738" s="1"/>
  <c r="AF15" i="821"/>
  <c r="AF12" i="821"/>
  <c r="AF14" i="821"/>
  <c r="AG12" i="821"/>
  <c r="AG11" i="821"/>
  <c r="AG10" i="821"/>
  <c r="AH13" i="821"/>
  <c r="AL13" i="821" s="1"/>
  <c r="AH15" i="821"/>
  <c r="AL15" i="821" s="1"/>
  <c r="AE5" i="821"/>
  <c r="AE3" i="821"/>
  <c r="AE4" i="821"/>
  <c r="AA5" i="821"/>
  <c r="AA7" i="821"/>
  <c r="AH14" i="821"/>
  <c r="AL14" i="821" s="1"/>
  <c r="AD31" i="741"/>
  <c r="AH31" i="741" s="1"/>
  <c r="AD33" i="741"/>
  <c r="AH33" i="741" s="1"/>
  <c r="U11" i="741"/>
  <c r="D11" i="741"/>
  <c r="E3" i="741"/>
  <c r="AD28" i="741"/>
  <c r="AH28" i="741" s="1"/>
  <c r="AD34" i="741"/>
  <c r="U23" i="741"/>
  <c r="Y18" i="741"/>
  <c r="Y19" i="741" s="1"/>
  <c r="S23" i="741" s="1"/>
  <c r="Y17" i="741"/>
  <c r="H13" i="741"/>
  <c r="H16" i="741" s="1"/>
  <c r="E17" i="741"/>
  <c r="L14" i="741"/>
  <c r="D16" i="741"/>
  <c r="B17" i="741"/>
  <c r="AC20" i="741"/>
  <c r="AC21" i="741"/>
  <c r="AC22" i="741"/>
  <c r="AC23" i="741"/>
  <c r="AC24" i="741"/>
  <c r="AC25" i="741"/>
  <c r="AC26" i="741"/>
  <c r="AC27" i="741"/>
  <c r="AC29" i="741"/>
  <c r="AC30" i="741"/>
  <c r="AC32" i="741"/>
  <c r="L13" i="741"/>
  <c r="X20" i="816"/>
  <c r="X19" i="816"/>
  <c r="U8" i="815"/>
  <c r="T8" i="815"/>
  <c r="U7" i="815"/>
  <c r="Y6" i="815" s="1"/>
  <c r="U6" i="815"/>
  <c r="U5" i="815"/>
  <c r="L9" i="815"/>
  <c r="M9" i="815"/>
  <c r="N9" i="815"/>
  <c r="O9" i="815"/>
  <c r="P9" i="815"/>
  <c r="Q9" i="815"/>
  <c r="K9" i="815"/>
  <c r="L8" i="815"/>
  <c r="M8" i="815"/>
  <c r="N8" i="815"/>
  <c r="O8" i="815"/>
  <c r="P8" i="815"/>
  <c r="Q8" i="815"/>
  <c r="K8" i="815"/>
  <c r="Q5" i="815"/>
  <c r="Q6" i="815"/>
  <c r="Q7" i="815"/>
  <c r="Q4" i="815"/>
  <c r="J3" i="815"/>
  <c r="J4" i="815"/>
  <c r="K4" i="815"/>
  <c r="L4" i="815"/>
  <c r="M4" i="815"/>
  <c r="N4" i="815"/>
  <c r="O4" i="815"/>
  <c r="P4" i="815"/>
  <c r="J5" i="815"/>
  <c r="K5" i="815"/>
  <c r="L5" i="815"/>
  <c r="M5" i="815"/>
  <c r="N5" i="815"/>
  <c r="O5" i="815"/>
  <c r="P5" i="815"/>
  <c r="J6" i="815"/>
  <c r="K6" i="815"/>
  <c r="L6" i="815"/>
  <c r="M6" i="815"/>
  <c r="N6" i="815"/>
  <c r="O6" i="815"/>
  <c r="P6" i="815"/>
  <c r="J7" i="815"/>
  <c r="K7" i="815"/>
  <c r="L7" i="815"/>
  <c r="M7" i="815"/>
  <c r="N7" i="815"/>
  <c r="O7" i="815"/>
  <c r="P7" i="815"/>
  <c r="K3" i="815"/>
  <c r="L3" i="815"/>
  <c r="M3" i="815"/>
  <c r="N3" i="815"/>
  <c r="O3" i="815"/>
  <c r="P3" i="815"/>
  <c r="AF7" i="822" l="1"/>
  <c r="S11" i="822"/>
  <c r="O5" i="822"/>
  <c r="P5" i="822" s="1"/>
  <c r="Q5" i="822" s="1"/>
  <c r="O6" i="822"/>
  <c r="P6" i="822" s="1"/>
  <c r="Q6" i="822" s="1"/>
  <c r="AK13" i="822"/>
  <c r="AK12" i="822"/>
  <c r="AK11" i="822"/>
  <c r="AK10" i="822"/>
  <c r="AK14" i="822"/>
  <c r="AK15" i="822"/>
  <c r="AA11" i="822"/>
  <c r="O7" i="822"/>
  <c r="P7" i="822" s="1"/>
  <c r="Q7" i="822" s="1"/>
  <c r="AD7" i="738"/>
  <c r="X9" i="738" a="1"/>
  <c r="X9" i="738" s="1"/>
  <c r="Z9" i="738" a="1"/>
  <c r="Z9" i="738" s="1"/>
  <c r="AV5" i="738" s="1" a="1"/>
  <c r="AJ7" i="821"/>
  <c r="AI12" i="821" s="1"/>
  <c r="P83" i="818"/>
  <c r="Q83" i="818"/>
  <c r="P83" i="817"/>
  <c r="Q83" i="817"/>
  <c r="L5" i="821"/>
  <c r="AF13" i="821"/>
  <c r="AE15" i="821"/>
  <c r="AF11" i="821"/>
  <c r="AH12" i="821"/>
  <c r="L6" i="821"/>
  <c r="P83" i="820"/>
  <c r="Q83" i="820"/>
  <c r="AF10" i="821"/>
  <c r="AE14" i="821"/>
  <c r="AE13" i="821"/>
  <c r="J8" i="821"/>
  <c r="J7" i="821"/>
  <c r="AE12" i="821"/>
  <c r="AE10" i="821"/>
  <c r="AE11" i="821"/>
  <c r="AH11" i="821"/>
  <c r="I8" i="821"/>
  <c r="I7" i="821"/>
  <c r="Y14" i="821"/>
  <c r="AA8" i="821"/>
  <c r="AA9" i="821"/>
  <c r="AA10" i="821" s="1"/>
  <c r="W14" i="821" s="1"/>
  <c r="AH10" i="821"/>
  <c r="H8" i="821"/>
  <c r="H7" i="821"/>
  <c r="P6" i="821"/>
  <c r="L4" i="821"/>
  <c r="P5" i="821"/>
  <c r="K7" i="821"/>
  <c r="K8" i="821"/>
  <c r="P83" i="819"/>
  <c r="Q83" i="819"/>
  <c r="O8" i="821"/>
  <c r="AF17" i="741"/>
  <c r="AE27" i="741" s="1"/>
  <c r="AD32" i="741"/>
  <c r="AD27" i="741"/>
  <c r="AD25" i="741"/>
  <c r="AD23" i="741"/>
  <c r="AD21" i="741"/>
  <c r="AH34" i="741"/>
  <c r="E11" i="741"/>
  <c r="V11" i="741"/>
  <c r="F3" i="741"/>
  <c r="L16" i="741"/>
  <c r="L15" i="741" s="1"/>
  <c r="P13" i="741" s="1"/>
  <c r="K14" i="741"/>
  <c r="M14" i="741" s="1"/>
  <c r="AD29" i="741"/>
  <c r="AF29" i="741"/>
  <c r="P14" i="741"/>
  <c r="K13" i="741"/>
  <c r="AD26" i="741"/>
  <c r="AE26" i="741"/>
  <c r="AD24" i="741"/>
  <c r="AD22" i="741"/>
  <c r="AD20" i="741"/>
  <c r="H17" i="741"/>
  <c r="X23" i="741"/>
  <c r="R23" i="741"/>
  <c r="AD30" i="741"/>
  <c r="N19" i="816"/>
  <c r="P21" i="816"/>
  <c r="M17" i="816"/>
  <c r="Q17" i="816"/>
  <c r="N18" i="816"/>
  <c r="R18" i="816"/>
  <c r="O19" i="816"/>
  <c r="S19" i="816"/>
  <c r="P20" i="816"/>
  <c r="M21" i="816"/>
  <c r="Q21" i="816"/>
  <c r="M18" i="816"/>
  <c r="O20" i="816"/>
  <c r="N17" i="816"/>
  <c r="R17" i="816"/>
  <c r="O18" i="816"/>
  <c r="S18" i="816"/>
  <c r="P19" i="816"/>
  <c r="M20" i="816"/>
  <c r="Q20" i="816"/>
  <c r="N21" i="816"/>
  <c r="R21" i="816"/>
  <c r="P17" i="816"/>
  <c r="R19" i="816"/>
  <c r="O17" i="816"/>
  <c r="S17" i="816"/>
  <c r="P18" i="816"/>
  <c r="M19" i="816"/>
  <c r="Q19" i="816"/>
  <c r="N20" i="816"/>
  <c r="R20" i="816"/>
  <c r="O21" i="816"/>
  <c r="S21" i="816"/>
  <c r="Q18" i="816"/>
  <c r="S20" i="816"/>
  <c r="M5" i="816"/>
  <c r="Q5" i="816"/>
  <c r="M9" i="816"/>
  <c r="M6" i="816"/>
  <c r="N5" i="816"/>
  <c r="R5" i="816"/>
  <c r="M8" i="816"/>
  <c r="P5" i="816"/>
  <c r="O5" i="816"/>
  <c r="S5" i="816"/>
  <c r="M7" i="816"/>
  <c r="Y5" i="815"/>
  <c r="V5" i="815"/>
  <c r="V6" i="815"/>
  <c r="V7" i="815"/>
  <c r="G8" i="815"/>
  <c r="F8" i="815"/>
  <c r="E8" i="815"/>
  <c r="D8" i="815"/>
  <c r="C8" i="815"/>
  <c r="B8" i="815"/>
  <c r="H8" i="815" s="1"/>
  <c r="H7" i="815"/>
  <c r="H6" i="815"/>
  <c r="H5" i="815"/>
  <c r="H4" i="815"/>
  <c r="C3" i="815"/>
  <c r="D3" i="815" s="1"/>
  <c r="E3" i="815" s="1"/>
  <c r="F3" i="815" s="1"/>
  <c r="G3" i="815" s="1"/>
  <c r="K17" i="813"/>
  <c r="K16" i="813"/>
  <c r="O10" i="813"/>
  <c r="L10" i="813"/>
  <c r="K10" i="813"/>
  <c r="O9" i="813"/>
  <c r="N9" i="813"/>
  <c r="K9" i="813"/>
  <c r="J9" i="813"/>
  <c r="O8" i="813"/>
  <c r="N8" i="813"/>
  <c r="M8" i="813"/>
  <c r="L8" i="813"/>
  <c r="K8" i="813"/>
  <c r="J8" i="813"/>
  <c r="P8" i="813" s="1"/>
  <c r="I8" i="813"/>
  <c r="O7" i="813"/>
  <c r="N7" i="813"/>
  <c r="M7" i="813"/>
  <c r="L7" i="813"/>
  <c r="K7" i="813"/>
  <c r="J7" i="813"/>
  <c r="P7" i="813" s="1"/>
  <c r="I7" i="813"/>
  <c r="O6" i="813"/>
  <c r="N6" i="813"/>
  <c r="M6" i="813"/>
  <c r="L6" i="813"/>
  <c r="K6" i="813"/>
  <c r="J6" i="813"/>
  <c r="P6" i="813" s="1"/>
  <c r="I6" i="813"/>
  <c r="O5" i="813"/>
  <c r="N5" i="813"/>
  <c r="N10" i="813" s="1"/>
  <c r="M5" i="813"/>
  <c r="M9" i="813" s="1"/>
  <c r="L5" i="813"/>
  <c r="L9" i="813" s="1"/>
  <c r="K5" i="813"/>
  <c r="J5" i="813"/>
  <c r="K19" i="813" s="1"/>
  <c r="K18" i="813" s="1"/>
  <c r="I5" i="813"/>
  <c r="J4" i="813"/>
  <c r="I4" i="813"/>
  <c r="C3" i="813"/>
  <c r="K4" i="813" s="1"/>
  <c r="AB20" i="814"/>
  <c r="AB19" i="814" a="1"/>
  <c r="AB23" i="814" s="1"/>
  <c r="S19" i="814" a="1"/>
  <c r="S25" i="814" s="1"/>
  <c r="AD15" i="814"/>
  <c r="U15" i="814"/>
  <c r="T15" i="814"/>
  <c r="T14" i="814" s="1"/>
  <c r="AM10" i="814" s="1"/>
  <c r="AC13" i="814"/>
  <c r="T13" i="814"/>
  <c r="AL11" i="814"/>
  <c r="AM9" i="814"/>
  <c r="AQ9" i="814" s="1"/>
  <c r="AC9" i="814"/>
  <c r="AC15" i="814" s="1"/>
  <c r="AC14" i="814" s="1"/>
  <c r="T9" i="814"/>
  <c r="AM8" i="814"/>
  <c r="AQ8" i="814" s="1"/>
  <c r="C3" i="814"/>
  <c r="D3" i="814" s="1"/>
  <c r="E3" i="814" s="1"/>
  <c r="F3" i="814" s="1"/>
  <c r="G3" i="814" s="1"/>
  <c r="AA9" i="809"/>
  <c r="AC8" i="809"/>
  <c r="AB8" i="809"/>
  <c r="AC7" i="809"/>
  <c r="AB7" i="809"/>
  <c r="I7" i="809"/>
  <c r="AC6" i="809"/>
  <c r="AB6" i="809"/>
  <c r="I6" i="809"/>
  <c r="AC5" i="809"/>
  <c r="AB5" i="809"/>
  <c r="I5" i="809"/>
  <c r="AC4" i="809"/>
  <c r="AB4" i="809"/>
  <c r="I4" i="809"/>
  <c r="AC3" i="809"/>
  <c r="AB3" i="809"/>
  <c r="K3" i="809"/>
  <c r="J3" i="809"/>
  <c r="I3" i="809"/>
  <c r="C3" i="809"/>
  <c r="D3" i="809" s="1"/>
  <c r="L1" i="809"/>
  <c r="AQ27" i="810"/>
  <c r="AP27" i="810"/>
  <c r="AO27" i="810"/>
  <c r="AN27" i="810"/>
  <c r="AM27" i="810"/>
  <c r="AR27" i="810" s="1"/>
  <c r="AL27" i="810"/>
  <c r="AK27" i="810"/>
  <c r="AQ26" i="810"/>
  <c r="AP26" i="810"/>
  <c r="AO26" i="810"/>
  <c r="AO29" i="810" s="1"/>
  <c r="AN26" i="810"/>
  <c r="AR26" i="810" s="1"/>
  <c r="AM26" i="810"/>
  <c r="AL26" i="810"/>
  <c r="AK26" i="810"/>
  <c r="AQ25" i="810"/>
  <c r="AP25" i="810"/>
  <c r="AP29" i="810" s="1"/>
  <c r="AO25" i="810"/>
  <c r="AN25" i="810"/>
  <c r="AM25" i="810"/>
  <c r="AM28" i="810" s="1"/>
  <c r="AL25" i="810"/>
  <c r="AR25" i="810" s="1"/>
  <c r="AK25" i="810"/>
  <c r="AQ24" i="810"/>
  <c r="AP24" i="810"/>
  <c r="AO24" i="810"/>
  <c r="AO28" i="810" s="1"/>
  <c r="AN24" i="810"/>
  <c r="AR24" i="810" s="1"/>
  <c r="AM24" i="810"/>
  <c r="AL24" i="810"/>
  <c r="AK24" i="810"/>
  <c r="AM23" i="810"/>
  <c r="AL23" i="810"/>
  <c r="AK23" i="810"/>
  <c r="AB23" i="810"/>
  <c r="AB21" i="810"/>
  <c r="AB20" i="810"/>
  <c r="AB19" i="810"/>
  <c r="AB19" i="810" a="1"/>
  <c r="AB22" i="810" s="1"/>
  <c r="S19" i="810" a="1"/>
  <c r="AD15" i="810"/>
  <c r="U15" i="810"/>
  <c r="T15" i="810"/>
  <c r="AV18" i="810" s="1"/>
  <c r="AC13" i="810"/>
  <c r="AV16" i="810" s="1"/>
  <c r="T13" i="810"/>
  <c r="T14" i="810" s="1"/>
  <c r="AV17" i="810" s="1"/>
  <c r="AN10" i="810"/>
  <c r="AC9" i="810"/>
  <c r="AC15" i="810" s="1"/>
  <c r="AC14" i="810" s="1"/>
  <c r="T9" i="810"/>
  <c r="AQ8" i="810"/>
  <c r="AP8" i="810"/>
  <c r="AO8" i="810"/>
  <c r="AO10" i="810" s="1"/>
  <c r="AN8" i="810"/>
  <c r="AM8" i="810"/>
  <c r="AL8" i="810"/>
  <c r="AR8" i="810" s="1"/>
  <c r="AK8" i="810"/>
  <c r="AQ7" i="810"/>
  <c r="AP7" i="810"/>
  <c r="AO7" i="810"/>
  <c r="AO9" i="810" s="1"/>
  <c r="AN7" i="810"/>
  <c r="AN9" i="810" s="1"/>
  <c r="AM7" i="810"/>
  <c r="AL7" i="810"/>
  <c r="AK7" i="810"/>
  <c r="AQ6" i="810"/>
  <c r="AP6" i="810"/>
  <c r="AO6" i="810"/>
  <c r="AN6" i="810"/>
  <c r="AM6" i="810"/>
  <c r="AL6" i="810"/>
  <c r="AR6" i="810" s="1"/>
  <c r="AK6" i="810"/>
  <c r="AQ5" i="810"/>
  <c r="AP5" i="810"/>
  <c r="AO5" i="810"/>
  <c r="AN5" i="810"/>
  <c r="AM5" i="810"/>
  <c r="AL5" i="810"/>
  <c r="AK5" i="810"/>
  <c r="AM4" i="810"/>
  <c r="AL4" i="810"/>
  <c r="AK4" i="810"/>
  <c r="D3" i="810"/>
  <c r="AN4" i="810" s="1"/>
  <c r="C3" i="810"/>
  <c r="AO30" i="811"/>
  <c r="AM30" i="811"/>
  <c r="AO29" i="811"/>
  <c r="AN29" i="811"/>
  <c r="AO28" i="811"/>
  <c r="AN28" i="811"/>
  <c r="U28" i="811"/>
  <c r="AO27" i="811"/>
  <c r="AN27" i="811"/>
  <c r="U27" i="811"/>
  <c r="AO26" i="811"/>
  <c r="AN26" i="811"/>
  <c r="U26" i="811"/>
  <c r="AO25" i="811"/>
  <c r="AN25" i="811"/>
  <c r="U25" i="811"/>
  <c r="AO24" i="811"/>
  <c r="AN24" i="811"/>
  <c r="AN30" i="811" s="1"/>
  <c r="V24" i="811"/>
  <c r="U24" i="811"/>
  <c r="X22" i="811"/>
  <c r="G8" i="811"/>
  <c r="F8" i="811"/>
  <c r="E8" i="811"/>
  <c r="D8" i="811"/>
  <c r="C8" i="811"/>
  <c r="B8" i="811"/>
  <c r="AA7" i="811"/>
  <c r="Z7" i="811"/>
  <c r="Y7" i="811"/>
  <c r="X7" i="811"/>
  <c r="W7" i="811"/>
  <c r="V7" i="811"/>
  <c r="AB7" i="811" s="1"/>
  <c r="U7" i="811"/>
  <c r="H7" i="811"/>
  <c r="AA6" i="811"/>
  <c r="Z6" i="811"/>
  <c r="Y6" i="811"/>
  <c r="X6" i="811"/>
  <c r="X8" i="811" s="1"/>
  <c r="W6" i="811"/>
  <c r="V6" i="811"/>
  <c r="U6" i="811"/>
  <c r="H6" i="811"/>
  <c r="AA5" i="811"/>
  <c r="AA9" i="811" s="1"/>
  <c r="Z5" i="811"/>
  <c r="Y5" i="811"/>
  <c r="X5" i="811"/>
  <c r="X9" i="811" s="1"/>
  <c r="W5" i="811"/>
  <c r="AB5" i="811" s="1"/>
  <c r="V5" i="811"/>
  <c r="U5" i="811"/>
  <c r="H5" i="811"/>
  <c r="AA4" i="811"/>
  <c r="AA8" i="811" s="1"/>
  <c r="Z4" i="811"/>
  <c r="Z9" i="811" s="1"/>
  <c r="Y4" i="811"/>
  <c r="Y9" i="811" s="1"/>
  <c r="X4" i="811"/>
  <c r="V4" i="811"/>
  <c r="V9" i="811" s="1"/>
  <c r="U4" i="811"/>
  <c r="K4" i="811"/>
  <c r="H4" i="811"/>
  <c r="W3" i="811"/>
  <c r="V3" i="811"/>
  <c r="U3" i="811"/>
  <c r="O3" i="811"/>
  <c r="P3" i="811" s="1"/>
  <c r="C3" i="811"/>
  <c r="W24" i="811" s="1"/>
  <c r="G8" i="812"/>
  <c r="F8" i="812"/>
  <c r="E8" i="812"/>
  <c r="D8" i="812"/>
  <c r="C8" i="812"/>
  <c r="B8" i="812"/>
  <c r="H8" i="812" s="1"/>
  <c r="AA7" i="812"/>
  <c r="Z7" i="812"/>
  <c r="Y7" i="812"/>
  <c r="X7" i="812"/>
  <c r="W7" i="812"/>
  <c r="AB7" i="812" s="1"/>
  <c r="V7" i="812"/>
  <c r="U7" i="812"/>
  <c r="H7" i="812"/>
  <c r="AA6" i="812"/>
  <c r="AA8" i="812" s="1"/>
  <c r="Z6" i="812"/>
  <c r="Z8" i="812" s="1"/>
  <c r="Y6" i="812"/>
  <c r="X6" i="812"/>
  <c r="W6" i="812"/>
  <c r="W8" i="812" s="1"/>
  <c r="V6" i="812"/>
  <c r="AB6" i="812" s="1"/>
  <c r="U6" i="812"/>
  <c r="H6" i="812"/>
  <c r="AA5" i="812"/>
  <c r="Z5" i="812"/>
  <c r="Z9" i="812" s="1"/>
  <c r="Y5" i="812"/>
  <c r="Y9" i="812" s="1"/>
  <c r="W5" i="812"/>
  <c r="V5" i="812"/>
  <c r="U5" i="812"/>
  <c r="H5" i="812"/>
  <c r="AA4" i="812"/>
  <c r="AA9" i="812" s="1"/>
  <c r="Z4" i="812"/>
  <c r="Y4" i="812"/>
  <c r="Y8" i="812" s="1"/>
  <c r="X4" i="812"/>
  <c r="W4" i="812"/>
  <c r="W9" i="812" s="1"/>
  <c r="V4" i="812"/>
  <c r="U4" i="812"/>
  <c r="K4" i="812"/>
  <c r="H4" i="812"/>
  <c r="W3" i="812"/>
  <c r="V3" i="812"/>
  <c r="U3" i="812"/>
  <c r="P3" i="812"/>
  <c r="X3" i="812" s="1"/>
  <c r="O3" i="812"/>
  <c r="C3" i="812"/>
  <c r="D3" i="812" s="1"/>
  <c r="E3" i="812" s="1"/>
  <c r="F3" i="812" s="1"/>
  <c r="G3" i="812" s="1"/>
  <c r="AF23" i="741" l="1"/>
  <c r="AF24" i="741"/>
  <c r="AF30" i="741"/>
  <c r="X11" i="822"/>
  <c r="Y11" i="822"/>
  <c r="T11" i="822"/>
  <c r="AI7" i="822"/>
  <c r="AG13" i="822"/>
  <c r="AG14" i="822"/>
  <c r="AG10" i="822"/>
  <c r="AG12" i="822"/>
  <c r="AG11" i="822"/>
  <c r="AG15" i="822"/>
  <c r="AV7" i="738"/>
  <c r="AV6" i="738"/>
  <c r="AV5" i="738"/>
  <c r="AV8" i="738"/>
  <c r="AL5" i="738" a="1"/>
  <c r="AD9" i="738"/>
  <c r="AC9" i="738" s="1"/>
  <c r="AE9" i="738" s="1"/>
  <c r="AD8" i="738"/>
  <c r="AC8" i="738" s="1"/>
  <c r="AE8" i="738" s="1"/>
  <c r="AC7" i="738"/>
  <c r="AE30" i="741"/>
  <c r="AF22" i="741"/>
  <c r="AE24" i="741"/>
  <c r="AE29" i="741"/>
  <c r="AF21" i="741"/>
  <c r="AE23" i="741"/>
  <c r="AF32" i="741"/>
  <c r="AE25" i="741"/>
  <c r="AF20" i="741"/>
  <c r="AE22" i="741"/>
  <c r="AE21" i="741"/>
  <c r="AF27" i="741"/>
  <c r="AE32" i="741"/>
  <c r="AE20" i="741"/>
  <c r="AF26" i="741"/>
  <c r="AF25" i="741"/>
  <c r="AL10" i="821"/>
  <c r="AL11" i="821"/>
  <c r="M21" i="817"/>
  <c r="M15" i="817"/>
  <c r="M39" i="817"/>
  <c r="M41" i="817"/>
  <c r="M40" i="817"/>
  <c r="M42" i="817"/>
  <c r="M18" i="817"/>
  <c r="N44" i="819"/>
  <c r="N56" i="819" s="1"/>
  <c r="N68" i="819" s="1"/>
  <c r="N80" i="819" s="1"/>
  <c r="N40" i="819"/>
  <c r="N52" i="819" s="1"/>
  <c r="N64" i="819" s="1"/>
  <c r="N76" i="819" s="1"/>
  <c r="N36" i="819"/>
  <c r="N48" i="819" s="1"/>
  <c r="N60" i="819" s="1"/>
  <c r="N72" i="819" s="1"/>
  <c r="N32" i="819"/>
  <c r="N28" i="819"/>
  <c r="N24" i="819"/>
  <c r="AJ14" i="821"/>
  <c r="AI13" i="821"/>
  <c r="AI15" i="821"/>
  <c r="AI14" i="821"/>
  <c r="AJ13" i="821"/>
  <c r="AJ15" i="821"/>
  <c r="O6" i="821"/>
  <c r="Q6" i="821" s="1"/>
  <c r="P8" i="821"/>
  <c r="P7" i="821" s="1"/>
  <c r="AJ12" i="821"/>
  <c r="M17" i="817"/>
  <c r="BF3" i="817" a="1"/>
  <c r="M38" i="817"/>
  <c r="M37" i="817"/>
  <c r="M20" i="817"/>
  <c r="M35" i="817"/>
  <c r="M14" i="817"/>
  <c r="AL3" i="817" a="1"/>
  <c r="M36" i="817"/>
  <c r="N44" i="818"/>
  <c r="N56" i="818" s="1"/>
  <c r="N68" i="818" s="1"/>
  <c r="N80" i="818" s="1"/>
  <c r="N40" i="818"/>
  <c r="N52" i="818" s="1"/>
  <c r="N64" i="818" s="1"/>
  <c r="N76" i="818" s="1"/>
  <c r="N36" i="818"/>
  <c r="N48" i="818" s="1"/>
  <c r="N60" i="818" s="1"/>
  <c r="N72" i="818" s="1"/>
  <c r="N32" i="818"/>
  <c r="N28" i="818"/>
  <c r="N24" i="818"/>
  <c r="N46" i="819"/>
  <c r="N58" i="819" s="1"/>
  <c r="N70" i="819" s="1"/>
  <c r="N82" i="819" s="1"/>
  <c r="N42" i="819"/>
  <c r="N54" i="819" s="1"/>
  <c r="N66" i="819" s="1"/>
  <c r="N78" i="819" s="1"/>
  <c r="N38" i="819"/>
  <c r="N50" i="819" s="1"/>
  <c r="N62" i="819" s="1"/>
  <c r="N74" i="819" s="1"/>
  <c r="N34" i="819"/>
  <c r="N30" i="819"/>
  <c r="N26" i="819"/>
  <c r="M20" i="819"/>
  <c r="M14" i="819"/>
  <c r="BF3" i="819" a="1"/>
  <c r="AL3" i="819" a="1"/>
  <c r="M38" i="819"/>
  <c r="M37" i="819"/>
  <c r="M36" i="819"/>
  <c r="M17" i="819"/>
  <c r="M35" i="819"/>
  <c r="M18" i="820"/>
  <c r="M42" i="820"/>
  <c r="M41" i="820"/>
  <c r="M15" i="820"/>
  <c r="M39" i="820"/>
  <c r="M40" i="820"/>
  <c r="M21" i="820"/>
  <c r="N45" i="817"/>
  <c r="N57" i="817" s="1"/>
  <c r="N69" i="817" s="1"/>
  <c r="N81" i="817" s="1"/>
  <c r="N41" i="817"/>
  <c r="N53" i="817" s="1"/>
  <c r="N65" i="817" s="1"/>
  <c r="N77" i="817" s="1"/>
  <c r="N37" i="817"/>
  <c r="N49" i="817" s="1"/>
  <c r="N61" i="817" s="1"/>
  <c r="N73" i="817" s="1"/>
  <c r="N33" i="817"/>
  <c r="N29" i="817"/>
  <c r="N25" i="817"/>
  <c r="M22" i="818"/>
  <c r="M16" i="818"/>
  <c r="M46" i="818"/>
  <c r="M45" i="818"/>
  <c r="M44" i="818"/>
  <c r="M43" i="818"/>
  <c r="M19" i="818"/>
  <c r="L56" i="819"/>
  <c r="L52" i="819"/>
  <c r="L48" i="819"/>
  <c r="L57" i="819"/>
  <c r="L54" i="819"/>
  <c r="L51" i="819"/>
  <c r="L25" i="819"/>
  <c r="L24" i="819"/>
  <c r="L16" i="819"/>
  <c r="L55" i="819"/>
  <c r="L26" i="819"/>
  <c r="L23" i="819"/>
  <c r="L15" i="819"/>
  <c r="L53" i="819"/>
  <c r="L49" i="819"/>
  <c r="L14" i="819"/>
  <c r="L50" i="819"/>
  <c r="L58" i="819"/>
  <c r="L47" i="819"/>
  <c r="N44" i="820"/>
  <c r="N56" i="820" s="1"/>
  <c r="N68" i="820" s="1"/>
  <c r="N80" i="820" s="1"/>
  <c r="N40" i="820"/>
  <c r="N52" i="820" s="1"/>
  <c r="N64" i="820" s="1"/>
  <c r="N76" i="820" s="1"/>
  <c r="N36" i="820"/>
  <c r="N48" i="820" s="1"/>
  <c r="N60" i="820" s="1"/>
  <c r="N72" i="820" s="1"/>
  <c r="N32" i="820"/>
  <c r="N28" i="820"/>
  <c r="N24" i="820"/>
  <c r="L70" i="817"/>
  <c r="L66" i="817"/>
  <c r="L62" i="817"/>
  <c r="L69" i="817"/>
  <c r="L59" i="817"/>
  <c r="L30" i="817"/>
  <c r="L29" i="817"/>
  <c r="L19" i="817"/>
  <c r="L18" i="817"/>
  <c r="L27" i="817"/>
  <c r="L28" i="817"/>
  <c r="L67" i="817"/>
  <c r="L63" i="817"/>
  <c r="L17" i="817"/>
  <c r="L68" i="817"/>
  <c r="L60" i="817"/>
  <c r="L65" i="817"/>
  <c r="L61" i="817"/>
  <c r="L64" i="817"/>
  <c r="N45" i="818"/>
  <c r="N57" i="818" s="1"/>
  <c r="N69" i="818" s="1"/>
  <c r="N81" i="818" s="1"/>
  <c r="N37" i="818"/>
  <c r="N49" i="818" s="1"/>
  <c r="N61" i="818" s="1"/>
  <c r="N73" i="818" s="1"/>
  <c r="N29" i="818"/>
  <c r="N41" i="818"/>
  <c r="N53" i="818" s="1"/>
  <c r="N65" i="818" s="1"/>
  <c r="N77" i="818" s="1"/>
  <c r="N33" i="818"/>
  <c r="N25" i="818"/>
  <c r="L82" i="820"/>
  <c r="L78" i="820"/>
  <c r="L74" i="820"/>
  <c r="L75" i="820"/>
  <c r="L72" i="820"/>
  <c r="L34" i="820"/>
  <c r="L71" i="820"/>
  <c r="L22" i="820"/>
  <c r="L21" i="820"/>
  <c r="L76" i="820"/>
  <c r="L31" i="820"/>
  <c r="L20" i="820"/>
  <c r="L81" i="820"/>
  <c r="L79" i="820"/>
  <c r="L32" i="820"/>
  <c r="L80" i="820"/>
  <c r="L73" i="820"/>
  <c r="L33" i="820"/>
  <c r="L77" i="820"/>
  <c r="M20" i="820"/>
  <c r="M14" i="820"/>
  <c r="BF3" i="820" a="1"/>
  <c r="M35" i="820"/>
  <c r="M17" i="820"/>
  <c r="AL3" i="820" a="1"/>
  <c r="M37" i="820"/>
  <c r="M38" i="820"/>
  <c r="M36" i="820"/>
  <c r="N43" i="817"/>
  <c r="N55" i="817" s="1"/>
  <c r="N67" i="817" s="1"/>
  <c r="N79" i="817" s="1"/>
  <c r="N39" i="817"/>
  <c r="N51" i="817" s="1"/>
  <c r="N63" i="817" s="1"/>
  <c r="N75" i="817" s="1"/>
  <c r="N35" i="817"/>
  <c r="N47" i="817" s="1"/>
  <c r="N59" i="817" s="1"/>
  <c r="N71" i="817" s="1"/>
  <c r="N31" i="817"/>
  <c r="N27" i="817"/>
  <c r="N23" i="817"/>
  <c r="AW3" i="817" a="1"/>
  <c r="AA3" i="817" a="1"/>
  <c r="M18" i="818"/>
  <c r="M39" i="818"/>
  <c r="M21" i="818"/>
  <c r="M40" i="818"/>
  <c r="M42" i="818"/>
  <c r="M15" i="818"/>
  <c r="M41" i="818"/>
  <c r="L80" i="818"/>
  <c r="L76" i="818"/>
  <c r="L72" i="818"/>
  <c r="L82" i="818"/>
  <c r="L79" i="818"/>
  <c r="L31" i="818"/>
  <c r="L22" i="818"/>
  <c r="L81" i="818"/>
  <c r="L77" i="818"/>
  <c r="L75" i="818"/>
  <c r="L73" i="818"/>
  <c r="L71" i="818"/>
  <c r="L34" i="818"/>
  <c r="L33" i="818"/>
  <c r="L78" i="818"/>
  <c r="L74" i="818"/>
  <c r="L20" i="818"/>
  <c r="L32" i="818"/>
  <c r="L21" i="818"/>
  <c r="L7" i="821"/>
  <c r="L8" i="821"/>
  <c r="AJ10" i="821"/>
  <c r="AB14" i="821"/>
  <c r="V14" i="821"/>
  <c r="AJ11" i="821"/>
  <c r="AL12" i="821"/>
  <c r="N46" i="818"/>
  <c r="N58" i="818" s="1"/>
  <c r="N70" i="818" s="1"/>
  <c r="N82" i="818" s="1"/>
  <c r="N42" i="818"/>
  <c r="N54" i="818" s="1"/>
  <c r="N66" i="818" s="1"/>
  <c r="N78" i="818" s="1"/>
  <c r="N38" i="818"/>
  <c r="N50" i="818" s="1"/>
  <c r="N62" i="818" s="1"/>
  <c r="N74" i="818" s="1"/>
  <c r="N34" i="818"/>
  <c r="N30" i="818"/>
  <c r="N26" i="818"/>
  <c r="N39" i="819"/>
  <c r="N51" i="819" s="1"/>
  <c r="N63" i="819" s="1"/>
  <c r="N75" i="819" s="1"/>
  <c r="N31" i="819"/>
  <c r="N23" i="819"/>
  <c r="AW3" i="819" a="1"/>
  <c r="AA3" i="819" a="1"/>
  <c r="N43" i="819"/>
  <c r="N55" i="819" s="1"/>
  <c r="N67" i="819" s="1"/>
  <c r="N79" i="819" s="1"/>
  <c r="N35" i="819"/>
  <c r="N47" i="819" s="1"/>
  <c r="N59" i="819" s="1"/>
  <c r="N71" i="819" s="1"/>
  <c r="N27" i="819"/>
  <c r="L70" i="820"/>
  <c r="L66" i="820"/>
  <c r="L62" i="820"/>
  <c r="L69" i="820"/>
  <c r="L59" i="820"/>
  <c r="L27" i="820"/>
  <c r="L19" i="820"/>
  <c r="L18" i="820"/>
  <c r="L67" i="820"/>
  <c r="L63" i="820"/>
  <c r="L28" i="820"/>
  <c r="L65" i="820"/>
  <c r="L68" i="820"/>
  <c r="L61" i="820"/>
  <c r="L29" i="820"/>
  <c r="L64" i="820"/>
  <c r="L60" i="820"/>
  <c r="L30" i="820"/>
  <c r="L17" i="820"/>
  <c r="M22" i="819"/>
  <c r="M16" i="819"/>
  <c r="M44" i="819"/>
  <c r="M43" i="819"/>
  <c r="M19" i="819"/>
  <c r="M45" i="819"/>
  <c r="M46" i="819"/>
  <c r="M22" i="820"/>
  <c r="M16" i="820"/>
  <c r="M43" i="820"/>
  <c r="M45" i="820"/>
  <c r="M19" i="820"/>
  <c r="M44" i="820"/>
  <c r="M46" i="820"/>
  <c r="N38" i="817"/>
  <c r="N50" i="817" s="1"/>
  <c r="N62" i="817" s="1"/>
  <c r="N74" i="817" s="1"/>
  <c r="N26" i="817"/>
  <c r="N46" i="817"/>
  <c r="N58" i="817" s="1"/>
  <c r="N70" i="817" s="1"/>
  <c r="N82" i="817" s="1"/>
  <c r="N34" i="817"/>
  <c r="N42" i="817"/>
  <c r="N54" i="817" s="1"/>
  <c r="N66" i="817" s="1"/>
  <c r="N78" i="817" s="1"/>
  <c r="N30" i="817"/>
  <c r="L56" i="818"/>
  <c r="L52" i="818"/>
  <c r="L48" i="818"/>
  <c r="L53" i="818"/>
  <c r="L50" i="818"/>
  <c r="L47" i="818"/>
  <c r="L23" i="818"/>
  <c r="L14" i="818"/>
  <c r="L57" i="818"/>
  <c r="L49" i="818"/>
  <c r="L58" i="818"/>
  <c r="L51" i="818"/>
  <c r="L26" i="818"/>
  <c r="L55" i="818"/>
  <c r="L24" i="818"/>
  <c r="L54" i="818"/>
  <c r="L16" i="818"/>
  <c r="L15" i="818"/>
  <c r="L25" i="818"/>
  <c r="L68" i="819"/>
  <c r="L64" i="819"/>
  <c r="L60" i="819"/>
  <c r="L70" i="819"/>
  <c r="L67" i="819"/>
  <c r="L17" i="819"/>
  <c r="L18" i="819"/>
  <c r="L63" i="819"/>
  <c r="L59" i="819"/>
  <c r="L29" i="819"/>
  <c r="L62" i="819"/>
  <c r="L69" i="819"/>
  <c r="L61" i="819"/>
  <c r="L19" i="819"/>
  <c r="L66" i="819"/>
  <c r="L28" i="819"/>
  <c r="L65" i="819"/>
  <c r="L30" i="819"/>
  <c r="L27" i="819"/>
  <c r="AW3" i="820" a="1"/>
  <c r="N35" i="820"/>
  <c r="N47" i="820" s="1"/>
  <c r="N59" i="820" s="1"/>
  <c r="N71" i="820" s="1"/>
  <c r="N23" i="820"/>
  <c r="N43" i="820"/>
  <c r="N55" i="820" s="1"/>
  <c r="N67" i="820" s="1"/>
  <c r="N79" i="820" s="1"/>
  <c r="AA3" i="820" a="1"/>
  <c r="N31" i="820"/>
  <c r="N27" i="820"/>
  <c r="N39" i="820"/>
  <c r="N51" i="820" s="1"/>
  <c r="N63" i="820" s="1"/>
  <c r="N75" i="820" s="1"/>
  <c r="L82" i="817"/>
  <c r="L78" i="817"/>
  <c r="L74" i="817"/>
  <c r="L75" i="817"/>
  <c r="L72" i="817"/>
  <c r="L22" i="817"/>
  <c r="L21" i="817"/>
  <c r="L81" i="817"/>
  <c r="L80" i="817"/>
  <c r="L79" i="817"/>
  <c r="L77" i="817"/>
  <c r="L76" i="817"/>
  <c r="L73" i="817"/>
  <c r="L31" i="817"/>
  <c r="L33" i="817"/>
  <c r="L32" i="817"/>
  <c r="L20" i="817"/>
  <c r="L34" i="817"/>
  <c r="L71" i="817"/>
  <c r="N41" i="820"/>
  <c r="N53" i="820" s="1"/>
  <c r="N65" i="820" s="1"/>
  <c r="N77" i="820" s="1"/>
  <c r="N33" i="820"/>
  <c r="N25" i="820"/>
  <c r="N29" i="820"/>
  <c r="N45" i="820"/>
  <c r="N57" i="820" s="1"/>
  <c r="N69" i="820" s="1"/>
  <c r="N81" i="820" s="1"/>
  <c r="N37" i="820"/>
  <c r="N49" i="820" s="1"/>
  <c r="N61" i="820" s="1"/>
  <c r="N73" i="820" s="1"/>
  <c r="O5" i="821"/>
  <c r="Q5" i="821" s="1"/>
  <c r="AI10" i="821"/>
  <c r="AI11" i="821"/>
  <c r="M19" i="817"/>
  <c r="M46" i="817"/>
  <c r="M45" i="817"/>
  <c r="M44" i="817"/>
  <c r="M22" i="817"/>
  <c r="M16" i="817"/>
  <c r="M43" i="817"/>
  <c r="N39" i="818"/>
  <c r="N51" i="818" s="1"/>
  <c r="N63" i="818" s="1"/>
  <c r="N75" i="818" s="1"/>
  <c r="N35" i="818"/>
  <c r="N47" i="818" s="1"/>
  <c r="N59" i="818" s="1"/>
  <c r="N71" i="818" s="1"/>
  <c r="N27" i="818"/>
  <c r="AA3" i="818" a="1"/>
  <c r="N43" i="818"/>
  <c r="N55" i="818" s="1"/>
  <c r="N67" i="818" s="1"/>
  <c r="N79" i="818" s="1"/>
  <c r="AW3" i="818" a="1"/>
  <c r="N23" i="818"/>
  <c r="N31" i="818"/>
  <c r="N45" i="819"/>
  <c r="N57" i="819" s="1"/>
  <c r="N69" i="819" s="1"/>
  <c r="N81" i="819" s="1"/>
  <c r="N25" i="819"/>
  <c r="N37" i="819"/>
  <c r="N49" i="819" s="1"/>
  <c r="N61" i="819" s="1"/>
  <c r="N73" i="819" s="1"/>
  <c r="N29" i="819"/>
  <c r="N41" i="819"/>
  <c r="N53" i="819" s="1"/>
  <c r="N65" i="819" s="1"/>
  <c r="N77" i="819" s="1"/>
  <c r="N33" i="819"/>
  <c r="L58" i="820"/>
  <c r="L54" i="820"/>
  <c r="L56" i="820"/>
  <c r="L53" i="820"/>
  <c r="L48" i="820"/>
  <c r="L55" i="820"/>
  <c r="L52" i="820"/>
  <c r="L26" i="820"/>
  <c r="L15" i="820"/>
  <c r="L51" i="820"/>
  <c r="L50" i="820"/>
  <c r="L49" i="820"/>
  <c r="L47" i="820"/>
  <c r="L16" i="820"/>
  <c r="L14" i="820"/>
  <c r="L23" i="820"/>
  <c r="L24" i="820"/>
  <c r="L57" i="820"/>
  <c r="L25" i="820"/>
  <c r="M18" i="819"/>
  <c r="M41" i="819"/>
  <c r="M40" i="819"/>
  <c r="M42" i="819"/>
  <c r="M21" i="819"/>
  <c r="M39" i="819"/>
  <c r="M15" i="819"/>
  <c r="N44" i="817"/>
  <c r="N56" i="817" s="1"/>
  <c r="N68" i="817" s="1"/>
  <c r="N80" i="817" s="1"/>
  <c r="N36" i="817"/>
  <c r="N48" i="817" s="1"/>
  <c r="N60" i="817" s="1"/>
  <c r="N72" i="817" s="1"/>
  <c r="N28" i="817"/>
  <c r="N32" i="817"/>
  <c r="N40" i="817"/>
  <c r="N52" i="817" s="1"/>
  <c r="N64" i="817" s="1"/>
  <c r="N76" i="817" s="1"/>
  <c r="N24" i="817"/>
  <c r="M20" i="818"/>
  <c r="M14" i="818"/>
  <c r="M38" i="818"/>
  <c r="BF3" i="818" a="1"/>
  <c r="AL3" i="818" a="1"/>
  <c r="M37" i="818"/>
  <c r="M35" i="818"/>
  <c r="M36" i="818"/>
  <c r="M17" i="818"/>
  <c r="L68" i="818"/>
  <c r="L64" i="818"/>
  <c r="L60" i="818"/>
  <c r="L69" i="818"/>
  <c r="L66" i="818"/>
  <c r="L63" i="818"/>
  <c r="L30" i="818"/>
  <c r="L67" i="818"/>
  <c r="L62" i="818"/>
  <c r="L28" i="818"/>
  <c r="L27" i="818"/>
  <c r="L70" i="818"/>
  <c r="L29" i="818"/>
  <c r="L19" i="818"/>
  <c r="L61" i="818"/>
  <c r="L18" i="818"/>
  <c r="L65" i="818"/>
  <c r="L17" i="818"/>
  <c r="L59" i="818"/>
  <c r="L80" i="819"/>
  <c r="L76" i="819"/>
  <c r="L72" i="819"/>
  <c r="L73" i="819"/>
  <c r="L33" i="819"/>
  <c r="L32" i="819"/>
  <c r="L82" i="819"/>
  <c r="L81" i="819"/>
  <c r="L79" i="819"/>
  <c r="L78" i="819"/>
  <c r="L77" i="819"/>
  <c r="L75" i="819"/>
  <c r="L74" i="819"/>
  <c r="L71" i="819"/>
  <c r="L31" i="819"/>
  <c r="L34" i="819"/>
  <c r="L21" i="819"/>
  <c r="L20" i="819"/>
  <c r="L22" i="819"/>
  <c r="N46" i="820"/>
  <c r="N58" i="820" s="1"/>
  <c r="N70" i="820" s="1"/>
  <c r="N82" i="820" s="1"/>
  <c r="N42" i="820"/>
  <c r="N54" i="820" s="1"/>
  <c r="N66" i="820" s="1"/>
  <c r="N78" i="820" s="1"/>
  <c r="N38" i="820"/>
  <c r="N50" i="820" s="1"/>
  <c r="N62" i="820" s="1"/>
  <c r="N74" i="820" s="1"/>
  <c r="N34" i="820"/>
  <c r="N30" i="820"/>
  <c r="N26" i="820"/>
  <c r="L58" i="817"/>
  <c r="L54" i="817"/>
  <c r="L50" i="817"/>
  <c r="L56" i="817"/>
  <c r="L53" i="817"/>
  <c r="L14" i="817"/>
  <c r="L25" i="817"/>
  <c r="L24" i="817"/>
  <c r="L26" i="817"/>
  <c r="L55" i="817"/>
  <c r="L52" i="817"/>
  <c r="L51" i="817"/>
  <c r="L49" i="817"/>
  <c r="L48" i="817"/>
  <c r="L47" i="817"/>
  <c r="L15" i="817"/>
  <c r="L23" i="817"/>
  <c r="L57" i="817"/>
  <c r="L16" i="817"/>
  <c r="M13" i="741"/>
  <c r="K15" i="741"/>
  <c r="M15" i="741" s="1"/>
  <c r="Y23" i="741"/>
  <c r="T23" i="741"/>
  <c r="V23" i="741" s="1"/>
  <c r="W23" i="741" s="1"/>
  <c r="AH22" i="741"/>
  <c r="AH29" i="741"/>
  <c r="W11" i="741"/>
  <c r="G3" i="741"/>
  <c r="F11" i="741"/>
  <c r="AH25" i="741"/>
  <c r="AH20" i="741"/>
  <c r="N14" i="741"/>
  <c r="O14" i="741" s="1"/>
  <c r="AH23" i="741"/>
  <c r="AH26" i="741"/>
  <c r="AH21" i="741"/>
  <c r="AH32" i="741"/>
  <c r="AH30" i="741"/>
  <c r="AH24" i="741"/>
  <c r="AH27" i="741"/>
  <c r="AF31" i="741"/>
  <c r="AE34" i="741"/>
  <c r="AE28" i="741"/>
  <c r="AF34" i="741"/>
  <c r="AE33" i="741"/>
  <c r="AF28" i="741"/>
  <c r="AE31" i="741"/>
  <c r="AF33" i="741"/>
  <c r="T20" i="816"/>
  <c r="Y20" i="816"/>
  <c r="Y19" i="816"/>
  <c r="P3" i="816"/>
  <c r="S22" i="816"/>
  <c r="S23" i="816"/>
  <c r="T19" i="816"/>
  <c r="O22" i="816"/>
  <c r="O23" i="816"/>
  <c r="Q22" i="816"/>
  <c r="Q23" i="816"/>
  <c r="R23" i="816"/>
  <c r="R22" i="816"/>
  <c r="T21" i="816"/>
  <c r="W22" i="816"/>
  <c r="N22" i="816"/>
  <c r="T18" i="816"/>
  <c r="X22" i="816"/>
  <c r="X21" i="816" s="1"/>
  <c r="N23" i="816"/>
  <c r="P22" i="816"/>
  <c r="P23" i="816"/>
  <c r="W5" i="815"/>
  <c r="X5" i="815" s="1"/>
  <c r="W6" i="815"/>
  <c r="X6" i="815" s="1"/>
  <c r="L16" i="813"/>
  <c r="L18" i="813"/>
  <c r="L17" i="813"/>
  <c r="O16" i="813"/>
  <c r="O17" i="813"/>
  <c r="M10" i="813"/>
  <c r="J19" i="813"/>
  <c r="D3" i="813"/>
  <c r="P5" i="813"/>
  <c r="J10" i="813"/>
  <c r="S22" i="814"/>
  <c r="AM11" i="814"/>
  <c r="S19" i="814"/>
  <c r="S23" i="814"/>
  <c r="AB21" i="814"/>
  <c r="S20" i="814"/>
  <c r="S24" i="814"/>
  <c r="AB22" i="814"/>
  <c r="S26" i="814"/>
  <c r="S21" i="814"/>
  <c r="AB19" i="814"/>
  <c r="AB9" i="809"/>
  <c r="E3" i="809"/>
  <c r="L3" i="809"/>
  <c r="AC9" i="809"/>
  <c r="AW26" i="810"/>
  <c r="AR29" i="810"/>
  <c r="AR28" i="810"/>
  <c r="AL9" i="810"/>
  <c r="S24" i="810"/>
  <c r="S20" i="810"/>
  <c r="S23" i="810"/>
  <c r="AN23" i="810"/>
  <c r="AP10" i="810"/>
  <c r="AM9" i="810"/>
  <c r="AQ9" i="810"/>
  <c r="AU18" i="810"/>
  <c r="AV15" i="810"/>
  <c r="AZ15" i="810" s="1"/>
  <c r="S21" i="810"/>
  <c r="S26" i="810"/>
  <c r="AU28" i="810"/>
  <c r="AP28" i="810"/>
  <c r="AZ16" i="810"/>
  <c r="AN29" i="810"/>
  <c r="AN28" i="810"/>
  <c r="AL28" i="810"/>
  <c r="E3" i="810"/>
  <c r="AL10" i="810"/>
  <c r="AR7" i="810"/>
  <c r="AU9" i="810"/>
  <c r="S19" i="810"/>
  <c r="S25" i="810"/>
  <c r="AV26" i="810"/>
  <c r="AL29" i="810"/>
  <c r="AQ10" i="810"/>
  <c r="AR5" i="810"/>
  <c r="AV6" i="810"/>
  <c r="AV7" i="810"/>
  <c r="AP9" i="810"/>
  <c r="AM10" i="810"/>
  <c r="S22" i="810"/>
  <c r="AM29" i="810"/>
  <c r="AQ29" i="810"/>
  <c r="AQ28" i="810"/>
  <c r="AV25" i="810"/>
  <c r="Q3" i="811"/>
  <c r="X3" i="811"/>
  <c r="AM33" i="811"/>
  <c r="AT33" i="811"/>
  <c r="D3" i="811"/>
  <c r="H8" i="811"/>
  <c r="Y8" i="811"/>
  <c r="V8" i="811"/>
  <c r="Z8" i="811"/>
  <c r="AB6" i="811"/>
  <c r="AF5" i="811"/>
  <c r="AB4" i="812"/>
  <c r="AF6" i="812"/>
  <c r="V8" i="812"/>
  <c r="Q3" i="812"/>
  <c r="AF5" i="812"/>
  <c r="V9" i="812"/>
  <c r="K5" i="812"/>
  <c r="P5" i="812" s="1"/>
  <c r="X5" i="812" s="1"/>
  <c r="B10" i="299"/>
  <c r="B8" i="299"/>
  <c r="AS33" i="811"/>
  <c r="AH13" i="822" l="1"/>
  <c r="AI13" i="822"/>
  <c r="AH11" i="822"/>
  <c r="AI14" i="822"/>
  <c r="AI15" i="822"/>
  <c r="AI12" i="822"/>
  <c r="AH15" i="822"/>
  <c r="AH14" i="822"/>
  <c r="AH12" i="822"/>
  <c r="AI11" i="822"/>
  <c r="AH10" i="822"/>
  <c r="AI10" i="822"/>
  <c r="AB11" i="822"/>
  <c r="V11" i="822"/>
  <c r="Z11" i="822" s="1"/>
  <c r="AW14" i="738"/>
  <c r="AW13" i="738"/>
  <c r="AW12" i="738"/>
  <c r="AW16" i="738"/>
  <c r="AW15" i="738"/>
  <c r="AC10" i="738"/>
  <c r="AE7" i="738"/>
  <c r="AD10" i="738"/>
  <c r="AL8" i="738"/>
  <c r="AL7" i="738"/>
  <c r="AL6" i="738"/>
  <c r="AL5" i="738"/>
  <c r="AW17" i="738"/>
  <c r="M49" i="818"/>
  <c r="M61" i="818" s="1"/>
  <c r="M73" i="818" s="1"/>
  <c r="O73" i="818" s="1"/>
  <c r="M50" i="818"/>
  <c r="M62" i="818" s="1"/>
  <c r="M74" i="818" s="1"/>
  <c r="M53" i="819"/>
  <c r="M65" i="819" s="1"/>
  <c r="M77" i="819" s="1"/>
  <c r="O77" i="819" s="1"/>
  <c r="AA5" i="820"/>
  <c r="AA3" i="820"/>
  <c r="AA4" i="820"/>
  <c r="AA6" i="820"/>
  <c r="M57" i="820"/>
  <c r="M69" i="820" s="1"/>
  <c r="M81" i="820" s="1"/>
  <c r="O81" i="820" s="1"/>
  <c r="M47" i="819"/>
  <c r="O47" i="819" s="1"/>
  <c r="M53" i="817"/>
  <c r="M65" i="817" s="1"/>
  <c r="M77" i="817" s="1"/>
  <c r="O77" i="817" s="1"/>
  <c r="O50" i="818"/>
  <c r="M58" i="820"/>
  <c r="M70" i="820" s="1"/>
  <c r="M82" i="820" s="1"/>
  <c r="O82" i="820" s="1"/>
  <c r="M55" i="820"/>
  <c r="M67" i="820" s="1"/>
  <c r="M79" i="820" s="1"/>
  <c r="O79" i="820" s="1"/>
  <c r="M56" i="819"/>
  <c r="M68" i="819" s="1"/>
  <c r="M80" i="819" s="1"/>
  <c r="M48" i="820"/>
  <c r="M60" i="820" s="1"/>
  <c r="M72" i="820" s="1"/>
  <c r="O72" i="820" s="1"/>
  <c r="M57" i="818"/>
  <c r="M69" i="818" s="1"/>
  <c r="M81" i="818" s="1"/>
  <c r="M53" i="820"/>
  <c r="M65" i="820" s="1"/>
  <c r="M77" i="820" s="1"/>
  <c r="O77" i="820" s="1"/>
  <c r="M50" i="819"/>
  <c r="M62" i="819" s="1"/>
  <c r="M74" i="819" s="1"/>
  <c r="O74" i="819" s="1"/>
  <c r="AL5" i="817"/>
  <c r="AL4" i="817"/>
  <c r="AL3" i="817"/>
  <c r="M49" i="817"/>
  <c r="M61" i="817" s="1"/>
  <c r="M73" i="817" s="1"/>
  <c r="O73" i="817" s="1"/>
  <c r="M51" i="817"/>
  <c r="M63" i="817" s="1"/>
  <c r="M75" i="817" s="1"/>
  <c r="O75" i="817" s="1"/>
  <c r="O80" i="819"/>
  <c r="AW6" i="820"/>
  <c r="AW3" i="820"/>
  <c r="AW5" i="820"/>
  <c r="AW4" i="820"/>
  <c r="O65" i="819"/>
  <c r="M55" i="819"/>
  <c r="M67" i="819" s="1"/>
  <c r="M79" i="819" s="1"/>
  <c r="O79" i="819" s="1"/>
  <c r="O74" i="818"/>
  <c r="O81" i="818"/>
  <c r="M53" i="818"/>
  <c r="M65" i="818" s="1"/>
  <c r="M77" i="818" s="1"/>
  <c r="O77" i="818" s="1"/>
  <c r="AL4" i="820"/>
  <c r="AL3" i="820"/>
  <c r="AL5" i="820"/>
  <c r="M49" i="819"/>
  <c r="M61" i="819" s="1"/>
  <c r="M73" i="819" s="1"/>
  <c r="O73" i="819" s="1"/>
  <c r="M54" i="819"/>
  <c r="M66" i="819" s="1"/>
  <c r="M78" i="819" s="1"/>
  <c r="O78" i="819" s="1"/>
  <c r="O68" i="819"/>
  <c r="M58" i="819"/>
  <c r="M70" i="819" s="1"/>
  <c r="M82" i="819" s="1"/>
  <c r="O82" i="819" s="1"/>
  <c r="AW5" i="817"/>
  <c r="AW3" i="817"/>
  <c r="AW4" i="817"/>
  <c r="AW6" i="817"/>
  <c r="M48" i="818"/>
  <c r="M60" i="818" s="1"/>
  <c r="M72" i="818" s="1"/>
  <c r="O72" i="818" s="1"/>
  <c r="AL4" i="818"/>
  <c r="AL3" i="818"/>
  <c r="AL5" i="818"/>
  <c r="M55" i="817"/>
  <c r="M67" i="817" s="1"/>
  <c r="M79" i="817" s="1"/>
  <c r="O79" i="817" s="1"/>
  <c r="M57" i="817"/>
  <c r="M69" i="817" s="1"/>
  <c r="M81" i="817" s="1"/>
  <c r="O81" i="817" s="1"/>
  <c r="M56" i="820"/>
  <c r="M68" i="820" s="1"/>
  <c r="M80" i="820" s="1"/>
  <c r="O80" i="820" s="1"/>
  <c r="M57" i="819"/>
  <c r="M69" i="819" s="1"/>
  <c r="M81" i="819" s="1"/>
  <c r="O81" i="819" s="1"/>
  <c r="AW6" i="819"/>
  <c r="AW4" i="819"/>
  <c r="AW3" i="819"/>
  <c r="AW5" i="819"/>
  <c r="M54" i="818"/>
  <c r="M66" i="818" s="1"/>
  <c r="M78" i="818" s="1"/>
  <c r="O78" i="818" s="1"/>
  <c r="M50" i="820"/>
  <c r="M62" i="820" s="1"/>
  <c r="M74" i="820" s="1"/>
  <c r="O74" i="820" s="1"/>
  <c r="M47" i="820"/>
  <c r="M55" i="818"/>
  <c r="M67" i="818" s="1"/>
  <c r="M79" i="818" s="1"/>
  <c r="O79" i="818" s="1"/>
  <c r="M58" i="818"/>
  <c r="M70" i="818" s="1"/>
  <c r="M82" i="818" s="1"/>
  <c r="O82" i="818" s="1"/>
  <c r="M52" i="820"/>
  <c r="M64" i="820" s="1"/>
  <c r="M76" i="820" s="1"/>
  <c r="O76" i="820" s="1"/>
  <c r="M54" i="820"/>
  <c r="M66" i="820" s="1"/>
  <c r="M78" i="820" s="1"/>
  <c r="O78" i="820" s="1"/>
  <c r="M48" i="819"/>
  <c r="M60" i="819" s="1"/>
  <c r="M72" i="819" s="1"/>
  <c r="O72" i="819" s="1"/>
  <c r="AL3" i="819"/>
  <c r="AL5" i="819"/>
  <c r="AL4" i="819"/>
  <c r="M50" i="817"/>
  <c r="M62" i="817" s="1"/>
  <c r="M74" i="817" s="1"/>
  <c r="O74" i="817" s="1"/>
  <c r="M54" i="817"/>
  <c r="M66" i="817" s="1"/>
  <c r="M78" i="817" s="1"/>
  <c r="O78" i="817" s="1"/>
  <c r="AA3" i="817"/>
  <c r="AA6" i="817"/>
  <c r="AA5" i="817"/>
  <c r="AA4" i="817"/>
  <c r="M56" i="818"/>
  <c r="M68" i="818" s="1"/>
  <c r="M80" i="818" s="1"/>
  <c r="O80" i="818" s="1"/>
  <c r="M48" i="817"/>
  <c r="M60" i="817" s="1"/>
  <c r="M72" i="817" s="1"/>
  <c r="O72" i="817" s="1"/>
  <c r="O69" i="818"/>
  <c r="AA3" i="818"/>
  <c r="AA6" i="818"/>
  <c r="AA4" i="818"/>
  <c r="AA5" i="818"/>
  <c r="M56" i="817"/>
  <c r="M68" i="817" s="1"/>
  <c r="M80" i="817" s="1"/>
  <c r="O80" i="817" s="1"/>
  <c r="AA5" i="819"/>
  <c r="AA3" i="819"/>
  <c r="AA6" i="819"/>
  <c r="AA4" i="819"/>
  <c r="M51" i="818"/>
  <c r="M63" i="818" s="1"/>
  <c r="M75" i="818" s="1"/>
  <c r="O75" i="818" s="1"/>
  <c r="M47" i="818"/>
  <c r="BF5" i="818"/>
  <c r="BF4" i="818"/>
  <c r="BF3" i="818"/>
  <c r="M51" i="819"/>
  <c r="M63" i="819" s="1"/>
  <c r="M75" i="819" s="1"/>
  <c r="O75" i="819" s="1"/>
  <c r="M52" i="819"/>
  <c r="M64" i="819" s="1"/>
  <c r="M76" i="819" s="1"/>
  <c r="O76" i="819" s="1"/>
  <c r="AW4" i="818"/>
  <c r="AW6" i="818"/>
  <c r="AW5" i="818"/>
  <c r="AW3" i="818"/>
  <c r="M58" i="817"/>
  <c r="M70" i="817" s="1"/>
  <c r="M82" i="817" s="1"/>
  <c r="O82" i="817" s="1"/>
  <c r="O60" i="820"/>
  <c r="AC14" i="821"/>
  <c r="X14" i="821"/>
  <c r="Z14" i="821" s="1"/>
  <c r="AA14" i="821" s="1"/>
  <c r="M52" i="818"/>
  <c r="M64" i="818" s="1"/>
  <c r="M76" i="818" s="1"/>
  <c r="O76" i="818" s="1"/>
  <c r="M49" i="820"/>
  <c r="M61" i="820" s="1"/>
  <c r="M73" i="820" s="1"/>
  <c r="O73" i="820" s="1"/>
  <c r="BF5" i="820"/>
  <c r="BF4" i="820"/>
  <c r="BF3" i="820"/>
  <c r="M51" i="820"/>
  <c r="M63" i="820" s="1"/>
  <c r="M75" i="820" s="1"/>
  <c r="O75" i="820" s="1"/>
  <c r="BF5" i="819"/>
  <c r="BF4" i="819"/>
  <c r="BF3" i="819"/>
  <c r="M47" i="817"/>
  <c r="BF4" i="817"/>
  <c r="BF3" i="817"/>
  <c r="BF5" i="817"/>
  <c r="M52" i="817"/>
  <c r="M64" i="817" s="1"/>
  <c r="M76" i="817" s="1"/>
  <c r="O76" i="817" s="1"/>
  <c r="O7" i="821"/>
  <c r="Q7" i="821" s="1"/>
  <c r="R6" i="821" s="1"/>
  <c r="S6" i="821" s="1"/>
  <c r="G11" i="741"/>
  <c r="X11" i="741"/>
  <c r="AA11" i="741" a="1"/>
  <c r="N13" i="741"/>
  <c r="O13" i="741" s="1"/>
  <c r="AP33" i="811"/>
  <c r="AQ33" i="811"/>
  <c r="AR33" i="811"/>
  <c r="T7" i="816"/>
  <c r="T8" i="816"/>
  <c r="Y21" i="816"/>
  <c r="O10" i="816"/>
  <c r="O11" i="816"/>
  <c r="Q11" i="816"/>
  <c r="Q10" i="816"/>
  <c r="AB20" i="816"/>
  <c r="AB19" i="816"/>
  <c r="T9" i="816"/>
  <c r="P10" i="816"/>
  <c r="P11" i="816"/>
  <c r="T22" i="816"/>
  <c r="T23" i="816"/>
  <c r="P6" i="809"/>
  <c r="M17" i="813"/>
  <c r="N17" i="813" s="1"/>
  <c r="W10" i="816"/>
  <c r="R10" i="816"/>
  <c r="R11" i="816"/>
  <c r="S10" i="816"/>
  <c r="S11" i="816"/>
  <c r="X8" i="816"/>
  <c r="N11" i="816"/>
  <c r="X7" i="816"/>
  <c r="N10" i="816"/>
  <c r="T6" i="816"/>
  <c r="P9" i="813"/>
  <c r="P10" i="813"/>
  <c r="E3" i="813"/>
  <c r="L4" i="813"/>
  <c r="M16" i="813"/>
  <c r="N16" i="813" s="1"/>
  <c r="AH19" i="814"/>
  <c r="AE19" i="814"/>
  <c r="AF19" i="814" s="1"/>
  <c r="AG19" i="814"/>
  <c r="X22" i="814"/>
  <c r="Y22" i="814"/>
  <c r="V22" i="814"/>
  <c r="W22" i="814" s="1"/>
  <c r="X19" i="814"/>
  <c r="V19" i="814"/>
  <c r="W19" i="814" s="1"/>
  <c r="Y19" i="814"/>
  <c r="AH21" i="814"/>
  <c r="AG21" i="814"/>
  <c r="AE21" i="814"/>
  <c r="AF21" i="814" s="1"/>
  <c r="X24" i="814"/>
  <c r="Y24" i="814"/>
  <c r="V24" i="814"/>
  <c r="W24" i="814" s="1"/>
  <c r="V21" i="814"/>
  <c r="W21" i="814" s="1"/>
  <c r="Y21" i="814"/>
  <c r="X21" i="814"/>
  <c r="AH18" i="814"/>
  <c r="AG18" i="814"/>
  <c r="AE18" i="814"/>
  <c r="AF18" i="814" s="1"/>
  <c r="AE20" i="814"/>
  <c r="AF20" i="814" s="1"/>
  <c r="AG20" i="814"/>
  <c r="AH20" i="814"/>
  <c r="AH23" i="814"/>
  <c r="AG23" i="814"/>
  <c r="AE23" i="814"/>
  <c r="AF23" i="814" s="1"/>
  <c r="V18" i="814"/>
  <c r="W18" i="814" s="1"/>
  <c r="Y18" i="814"/>
  <c r="X18" i="814"/>
  <c r="V26" i="814"/>
  <c r="W26" i="814" s="1"/>
  <c r="Y26" i="814"/>
  <c r="X26" i="814"/>
  <c r="V23" i="814"/>
  <c r="W23" i="814" s="1"/>
  <c r="Y23" i="814"/>
  <c r="X23" i="814"/>
  <c r="AE22" i="814"/>
  <c r="AF22" i="814" s="1"/>
  <c r="AH22" i="814"/>
  <c r="AG22" i="814"/>
  <c r="X20" i="814"/>
  <c r="V20" i="814"/>
  <c r="W20" i="814" s="1"/>
  <c r="Y20" i="814"/>
  <c r="V25" i="814"/>
  <c r="W25" i="814" s="1"/>
  <c r="X25" i="814"/>
  <c r="Y25" i="814"/>
  <c r="AD12" i="809"/>
  <c r="AF12" i="809"/>
  <c r="AE12" i="809"/>
  <c r="AH12" i="809"/>
  <c r="AA12" i="809"/>
  <c r="N8" i="809"/>
  <c r="N9" i="809"/>
  <c r="O8" i="809"/>
  <c r="O9" i="809"/>
  <c r="L9" i="809"/>
  <c r="L8" i="809"/>
  <c r="P7" i="809"/>
  <c r="T6" i="809"/>
  <c r="J8" i="809"/>
  <c r="T5" i="809"/>
  <c r="P4" i="809"/>
  <c r="J9" i="809"/>
  <c r="P5" i="809"/>
  <c r="M9" i="809"/>
  <c r="M8" i="809"/>
  <c r="M3" i="809"/>
  <c r="F3" i="809"/>
  <c r="K8" i="809"/>
  <c r="K9" i="809"/>
  <c r="AR10" i="810"/>
  <c r="AR9" i="810"/>
  <c r="V25" i="810"/>
  <c r="W25" i="810" s="1"/>
  <c r="X25" i="810"/>
  <c r="Y25" i="810"/>
  <c r="AO23" i="810"/>
  <c r="F3" i="810"/>
  <c r="AO4" i="810"/>
  <c r="V18" i="810"/>
  <c r="W18" i="810" s="1"/>
  <c r="Y18" i="810"/>
  <c r="X18" i="810"/>
  <c r="V19" i="810"/>
  <c r="W19" i="810" s="1"/>
  <c r="X19" i="810"/>
  <c r="Y19" i="810"/>
  <c r="AG23" i="810"/>
  <c r="AH23" i="810"/>
  <c r="AE23" i="810"/>
  <c r="AF23" i="810" s="1"/>
  <c r="AE18" i="810"/>
  <c r="AF18" i="810" s="1"/>
  <c r="AG18" i="810"/>
  <c r="AH18" i="810"/>
  <c r="AU6" i="810"/>
  <c r="AW6" i="810" s="1"/>
  <c r="X24" i="810"/>
  <c r="Y24" i="810"/>
  <c r="V24" i="810"/>
  <c r="W24" i="810" s="1"/>
  <c r="Y26" i="810"/>
  <c r="X26" i="810"/>
  <c r="V26" i="810"/>
  <c r="W26" i="810" s="1"/>
  <c r="V20" i="810"/>
  <c r="W20" i="810" s="1"/>
  <c r="X20" i="810"/>
  <c r="Y20" i="810"/>
  <c r="V22" i="810"/>
  <c r="W22" i="810" s="1"/>
  <c r="X22" i="810"/>
  <c r="Y22" i="810"/>
  <c r="AG19" i="810"/>
  <c r="AH19" i="810"/>
  <c r="AE19" i="810"/>
  <c r="AF19" i="810" s="1"/>
  <c r="AE20" i="810"/>
  <c r="AF20" i="810" s="1"/>
  <c r="AH20" i="810"/>
  <c r="AG20" i="810"/>
  <c r="AV28" i="810"/>
  <c r="AV27" i="810" s="1"/>
  <c r="AW27" i="810" s="1"/>
  <c r="AX26" i="810" s="1"/>
  <c r="AY26" i="810" s="1"/>
  <c r="AV9" i="810"/>
  <c r="AV8" i="810" s="1"/>
  <c r="AZ7" i="810" s="1"/>
  <c r="AU7" i="810"/>
  <c r="AW7" i="810" s="1"/>
  <c r="AZ26" i="810"/>
  <c r="AW25" i="810"/>
  <c r="Y21" i="810"/>
  <c r="X21" i="810"/>
  <c r="V21" i="810"/>
  <c r="W21" i="810" s="1"/>
  <c r="Y23" i="810"/>
  <c r="X23" i="810"/>
  <c r="V23" i="810"/>
  <c r="W23" i="810" s="1"/>
  <c r="AG21" i="810"/>
  <c r="AH21" i="810"/>
  <c r="AE21" i="810"/>
  <c r="AF21" i="810" s="1"/>
  <c r="AE22" i="810"/>
  <c r="AF22" i="810" s="1"/>
  <c r="AH22" i="810"/>
  <c r="AG22" i="810"/>
  <c r="W29" i="811"/>
  <c r="W30" i="811"/>
  <c r="V29" i="811"/>
  <c r="W36" i="811"/>
  <c r="V30" i="811"/>
  <c r="AB25" i="811"/>
  <c r="W37" i="811"/>
  <c r="Y30" i="811"/>
  <c r="Y29" i="811"/>
  <c r="AF16" i="811"/>
  <c r="E3" i="811"/>
  <c r="X24" i="811"/>
  <c r="Y3" i="811"/>
  <c r="R3" i="811"/>
  <c r="AA29" i="811"/>
  <c r="AA30" i="811"/>
  <c r="Z29" i="811"/>
  <c r="Z30" i="811"/>
  <c r="X30" i="811"/>
  <c r="X29" i="811"/>
  <c r="AB28" i="811"/>
  <c r="AB27" i="811"/>
  <c r="V39" i="811"/>
  <c r="AB26" i="811"/>
  <c r="AE8" i="812"/>
  <c r="AB5" i="812"/>
  <c r="X9" i="812"/>
  <c r="X8" i="812"/>
  <c r="AE6" i="812" s="1"/>
  <c r="AG6" i="812" s="1"/>
  <c r="AE5" i="812"/>
  <c r="AG5" i="812" s="1"/>
  <c r="AJ5" i="812"/>
  <c r="AF8" i="812"/>
  <c r="AF7" i="812" s="1"/>
  <c r="AJ6" i="812" s="1"/>
  <c r="R3" i="812"/>
  <c r="Y3" i="812"/>
  <c r="AB9" i="812"/>
  <c r="AB8" i="812"/>
  <c r="AG12" i="809"/>
  <c r="S6" i="809"/>
  <c r="O52" i="819" l="1"/>
  <c r="O66" i="820"/>
  <c r="O63" i="817"/>
  <c r="P63" i="817" s="1"/>
  <c r="O70" i="819"/>
  <c r="Q70" i="819" s="1" a="1"/>
  <c r="Q70" i="819" s="1"/>
  <c r="O67" i="820"/>
  <c r="O57" i="818"/>
  <c r="O55" i="820"/>
  <c r="Q55" i="820" s="1" a="1"/>
  <c r="Q55" i="820" s="1"/>
  <c r="O66" i="819"/>
  <c r="Q66" i="819" s="1" a="1"/>
  <c r="Q66" i="819" s="1"/>
  <c r="O57" i="820"/>
  <c r="Q57" i="820" s="1" a="1"/>
  <c r="Q57" i="820" s="1"/>
  <c r="O67" i="819"/>
  <c r="P67" i="819" s="1"/>
  <c r="O55" i="819"/>
  <c r="P55" i="819" s="1"/>
  <c r="O56" i="819"/>
  <c r="Q56" i="819" s="1" a="1"/>
  <c r="Q56" i="819" s="1"/>
  <c r="O51" i="819"/>
  <c r="Q51" i="819" s="1" a="1"/>
  <c r="Q51" i="819" s="1"/>
  <c r="O50" i="817"/>
  <c r="Q50" i="817" s="1" a="1"/>
  <c r="Q50" i="817" s="1"/>
  <c r="O58" i="819"/>
  <c r="P58" i="819" s="1"/>
  <c r="O62" i="817"/>
  <c r="P62" i="817" s="1"/>
  <c r="O55" i="817"/>
  <c r="P55" i="817" s="1"/>
  <c r="O61" i="817"/>
  <c r="Q61" i="817" s="1" a="1"/>
  <c r="Q61" i="817" s="1"/>
  <c r="O65" i="818"/>
  <c r="Q65" i="818" s="1" a="1"/>
  <c r="Q65" i="818" s="1"/>
  <c r="O53" i="819"/>
  <c r="Q53" i="819" s="1" a="1"/>
  <c r="Q53" i="819" s="1"/>
  <c r="O52" i="820"/>
  <c r="P52" i="820" s="1"/>
  <c r="O48" i="818"/>
  <c r="P48" i="818" s="1"/>
  <c r="O61" i="818"/>
  <c r="Q61" i="818" s="1" a="1"/>
  <c r="Q61" i="818" s="1"/>
  <c r="O50" i="819"/>
  <c r="P50" i="819" s="1"/>
  <c r="O49" i="818"/>
  <c r="Q49" i="818" s="1" a="1"/>
  <c r="Q49" i="818" s="1"/>
  <c r="O56" i="818"/>
  <c r="P56" i="818" s="1"/>
  <c r="O62" i="819"/>
  <c r="O58" i="817"/>
  <c r="Q58" i="817" s="1" a="1"/>
  <c r="Q58" i="817" s="1"/>
  <c r="AE10" i="738"/>
  <c r="BB12" i="738"/>
  <c r="BB14" i="738"/>
  <c r="AL9" i="738"/>
  <c r="AX9" i="738"/>
  <c r="AL13" i="738"/>
  <c r="AN13" i="738" s="1"/>
  <c r="BB15" i="738"/>
  <c r="O69" i="820"/>
  <c r="Q69" i="820" s="1" a="1"/>
  <c r="Q69" i="820" s="1"/>
  <c r="O70" i="818"/>
  <c r="P70" i="818" s="1"/>
  <c r="O48" i="819"/>
  <c r="Q48" i="819" s="1" a="1"/>
  <c r="Q48" i="819" s="1"/>
  <c r="O53" i="818"/>
  <c r="O56" i="820"/>
  <c r="Q56" i="820" s="1" a="1"/>
  <c r="Q56" i="820" s="1"/>
  <c r="O48" i="817"/>
  <c r="P48" i="817" s="1"/>
  <c r="O54" i="817"/>
  <c r="P54" i="817" s="1"/>
  <c r="O53" i="820"/>
  <c r="P53" i="820" s="1"/>
  <c r="O68" i="820"/>
  <c r="P68" i="820" s="1"/>
  <c r="O60" i="819"/>
  <c r="P60" i="819" s="1"/>
  <c r="O63" i="818"/>
  <c r="Q63" i="818" s="1" a="1"/>
  <c r="Q63" i="818" s="1"/>
  <c r="O57" i="817"/>
  <c r="P57" i="817" s="1"/>
  <c r="O51" i="818"/>
  <c r="P51" i="818" s="1"/>
  <c r="O48" i="820"/>
  <c r="P48" i="820" s="1"/>
  <c r="O65" i="820"/>
  <c r="P65" i="820" s="1"/>
  <c r="Q72" i="817" a="1"/>
  <c r="Q72" i="817" s="1"/>
  <c r="P72" i="817"/>
  <c r="P72" i="819"/>
  <c r="Q72" i="819" a="1"/>
  <c r="Q72" i="819" s="1"/>
  <c r="P80" i="820"/>
  <c r="Q80" i="820" a="1"/>
  <c r="Q80" i="820" s="1"/>
  <c r="P82" i="817"/>
  <c r="Q82" i="817" a="1"/>
  <c r="Q82" i="817" s="1"/>
  <c r="P78" i="820"/>
  <c r="Q78" i="820" a="1"/>
  <c r="Q78" i="820" s="1"/>
  <c r="P74" i="820"/>
  <c r="Q74" i="820" a="1"/>
  <c r="Q74" i="820" s="1"/>
  <c r="Q75" i="820" a="1"/>
  <c r="Q75" i="820" s="1"/>
  <c r="P75" i="820"/>
  <c r="Q75" i="818" a="1"/>
  <c r="Q75" i="818" s="1"/>
  <c r="P75" i="818"/>
  <c r="P74" i="817"/>
  <c r="Q74" i="817" a="1"/>
  <c r="Q74" i="817" s="1"/>
  <c r="P73" i="820"/>
  <c r="Q73" i="820" a="1"/>
  <c r="Q73" i="820" s="1"/>
  <c r="P75" i="819"/>
  <c r="Q75" i="819" a="1"/>
  <c r="Q75" i="819" s="1"/>
  <c r="P76" i="820"/>
  <c r="Q76" i="820" a="1"/>
  <c r="Q76" i="820" s="1"/>
  <c r="Q78" i="818" a="1"/>
  <c r="Q78" i="818" s="1"/>
  <c r="P78" i="818"/>
  <c r="P76" i="817"/>
  <c r="Q76" i="817" a="1"/>
  <c r="Q76" i="817" s="1"/>
  <c r="P76" i="818"/>
  <c r="Q76" i="818" a="1"/>
  <c r="Q76" i="818" s="1"/>
  <c r="Q82" i="818" a="1"/>
  <c r="Q82" i="818" s="1"/>
  <c r="P82" i="818"/>
  <c r="Q81" i="819" a="1"/>
  <c r="Q81" i="819" s="1"/>
  <c r="P81" i="819"/>
  <c r="P72" i="818"/>
  <c r="Q72" i="818" a="1"/>
  <c r="Q72" i="818" s="1"/>
  <c r="Q73" i="819" a="1"/>
  <c r="Q73" i="819" s="1"/>
  <c r="P73" i="819"/>
  <c r="Q73" i="818" a="1"/>
  <c r="Q73" i="818" s="1"/>
  <c r="P73" i="818"/>
  <c r="P57" i="820"/>
  <c r="P58" i="817"/>
  <c r="Q63" i="817" a="1"/>
  <c r="Q63" i="817" s="1"/>
  <c r="Q80" i="817" a="1"/>
  <c r="Q80" i="817" s="1"/>
  <c r="P80" i="817"/>
  <c r="Q55" i="819" a="1"/>
  <c r="Q55" i="819" s="1"/>
  <c r="O64" i="817"/>
  <c r="P81" i="820"/>
  <c r="Q81" i="820" a="1"/>
  <c r="Q81" i="820" s="1"/>
  <c r="AW13" i="819"/>
  <c r="AX10" i="819"/>
  <c r="AW14" i="819"/>
  <c r="O63" i="820"/>
  <c r="Q77" i="817" a="1"/>
  <c r="Q77" i="817" s="1"/>
  <c r="P77" i="817"/>
  <c r="Q78" i="819" a="1"/>
  <c r="Q78" i="819" s="1"/>
  <c r="P78" i="819"/>
  <c r="AX14" i="817"/>
  <c r="AX15" i="817"/>
  <c r="AX12" i="817"/>
  <c r="P68" i="819"/>
  <c r="Q68" i="819" a="1"/>
  <c r="Q68" i="819" s="1"/>
  <c r="Q57" i="818" a="1"/>
  <c r="Q57" i="818" s="1"/>
  <c r="P57" i="818"/>
  <c r="AX13" i="820"/>
  <c r="AX11" i="820"/>
  <c r="AW15" i="820"/>
  <c r="P80" i="819"/>
  <c r="Q80" i="819" a="1"/>
  <c r="Q80" i="819" s="1"/>
  <c r="O70" i="817"/>
  <c r="O60" i="817"/>
  <c r="Q79" i="820" a="1"/>
  <c r="Q79" i="820" s="1"/>
  <c r="P79" i="820"/>
  <c r="Q50" i="818" a="1"/>
  <c r="Q50" i="818" s="1"/>
  <c r="P50" i="818"/>
  <c r="R5" i="821"/>
  <c r="S5" i="821" s="1"/>
  <c r="P56" i="819"/>
  <c r="O64" i="820"/>
  <c r="O53" i="817"/>
  <c r="P56" i="820"/>
  <c r="P76" i="819"/>
  <c r="Q76" i="819" a="1"/>
  <c r="Q76" i="819" s="1"/>
  <c r="Q51" i="818" a="1"/>
  <c r="Q51" i="818" s="1"/>
  <c r="BF11" i="820"/>
  <c r="BG9" i="820"/>
  <c r="Q77" i="818" a="1"/>
  <c r="Q77" i="818" s="1"/>
  <c r="P77" i="818"/>
  <c r="P49" i="818"/>
  <c r="P78" i="817"/>
  <c r="Q78" i="817" a="1"/>
  <c r="Q78" i="817" s="1"/>
  <c r="AX13" i="818"/>
  <c r="AX11" i="818"/>
  <c r="AW15" i="818"/>
  <c r="M59" i="818"/>
  <c r="P50" i="817"/>
  <c r="Q67" i="819" a="1"/>
  <c r="Q67" i="819" s="1"/>
  <c r="P73" i="817"/>
  <c r="Q73" i="817" a="1"/>
  <c r="Q73" i="817" s="1"/>
  <c r="P82" i="820"/>
  <c r="Q82" i="820" a="1"/>
  <c r="Q82" i="820" s="1"/>
  <c r="AX15" i="819"/>
  <c r="AX12" i="819"/>
  <c r="AX14" i="819"/>
  <c r="O61" i="820"/>
  <c r="O50" i="820"/>
  <c r="O60" i="818"/>
  <c r="O52" i="817"/>
  <c r="AW14" i="817"/>
  <c r="AW13" i="817"/>
  <c r="AX10" i="817"/>
  <c r="O61" i="819"/>
  <c r="O56" i="817"/>
  <c r="O54" i="819"/>
  <c r="Q81" i="818" a="1"/>
  <c r="Q81" i="818" s="1"/>
  <c r="P81" i="818"/>
  <c r="AW11" i="820"/>
  <c r="AW12" i="820"/>
  <c r="AW10" i="820"/>
  <c r="O69" i="817"/>
  <c r="O54" i="818"/>
  <c r="O58" i="820"/>
  <c r="O54" i="820"/>
  <c r="O68" i="818"/>
  <c r="O49" i="817"/>
  <c r="P52" i="819"/>
  <c r="Q52" i="819" a="1"/>
  <c r="Q52" i="819" s="1"/>
  <c r="Q79" i="818" a="1"/>
  <c r="Q79" i="818" s="1"/>
  <c r="P79" i="818"/>
  <c r="P63" i="818"/>
  <c r="O49" i="820"/>
  <c r="BG10" i="817"/>
  <c r="BG11" i="817"/>
  <c r="M59" i="817"/>
  <c r="BG11" i="820"/>
  <c r="BG10" i="820"/>
  <c r="P66" i="820"/>
  <c r="Q66" i="820" a="1"/>
  <c r="Q66" i="820" s="1"/>
  <c r="P60" i="820"/>
  <c r="Q60" i="820" a="1"/>
  <c r="Q60" i="820" s="1"/>
  <c r="O55" i="818"/>
  <c r="AX15" i="818"/>
  <c r="AX12" i="818"/>
  <c r="AX14" i="818"/>
  <c r="O51" i="820"/>
  <c r="BF10" i="818"/>
  <c r="BF9" i="818"/>
  <c r="Q79" i="819" a="1"/>
  <c r="Q79" i="819" s="1"/>
  <c r="P79" i="819"/>
  <c r="Q69" i="818" a="1"/>
  <c r="Q69" i="818" s="1"/>
  <c r="P69" i="818"/>
  <c r="Q82" i="819" a="1"/>
  <c r="Q82" i="819" s="1"/>
  <c r="P82" i="819"/>
  <c r="Q72" i="820" a="1"/>
  <c r="Q72" i="820" s="1"/>
  <c r="P72" i="820"/>
  <c r="M59" i="820"/>
  <c r="AX13" i="819"/>
  <c r="AW15" i="819"/>
  <c r="AX11" i="819"/>
  <c r="O62" i="820"/>
  <c r="O58" i="818"/>
  <c r="O63" i="819"/>
  <c r="O47" i="817"/>
  <c r="AW12" i="817"/>
  <c r="AW11" i="817"/>
  <c r="AW10" i="817"/>
  <c r="Q75" i="817" a="1"/>
  <c r="Q75" i="817" s="1"/>
  <c r="P75" i="817"/>
  <c r="Q74" i="818" a="1"/>
  <c r="Q74" i="818" s="1"/>
  <c r="P74" i="818"/>
  <c r="O52" i="818"/>
  <c r="Q65" i="819" a="1"/>
  <c r="Q65" i="819" s="1"/>
  <c r="P65" i="819"/>
  <c r="AX15" i="820"/>
  <c r="AX12" i="820"/>
  <c r="AX14" i="820"/>
  <c r="O49" i="819"/>
  <c r="O65" i="817"/>
  <c r="O70" i="820"/>
  <c r="O47" i="820"/>
  <c r="O62" i="818"/>
  <c r="BF11" i="817"/>
  <c r="BG9" i="817"/>
  <c r="BF11" i="819"/>
  <c r="BG9" i="819"/>
  <c r="BF9" i="820"/>
  <c r="BF10" i="820"/>
  <c r="Q67" i="820" a="1"/>
  <c r="Q67" i="820" s="1"/>
  <c r="P67" i="820"/>
  <c r="AW10" i="818"/>
  <c r="AW11" i="818"/>
  <c r="AW12" i="818"/>
  <c r="BG11" i="818"/>
  <c r="BG10" i="818"/>
  <c r="Q70" i="818" a="1"/>
  <c r="Q70" i="818" s="1"/>
  <c r="BG10" i="819"/>
  <c r="BG11" i="819"/>
  <c r="BF9" i="817"/>
  <c r="BF10" i="817"/>
  <c r="BF9" i="819"/>
  <c r="BF10" i="819"/>
  <c r="P77" i="820"/>
  <c r="Q77" i="820" a="1"/>
  <c r="Q77" i="820" s="1"/>
  <c r="P80" i="818"/>
  <c r="Q80" i="818" a="1"/>
  <c r="Q80" i="818" s="1"/>
  <c r="Q79" i="817" a="1"/>
  <c r="Q79" i="817" s="1"/>
  <c r="P79" i="817"/>
  <c r="AW14" i="818"/>
  <c r="AX10" i="818"/>
  <c r="AW13" i="818"/>
  <c r="BF11" i="818"/>
  <c r="BG9" i="818"/>
  <c r="O64" i="818"/>
  <c r="P74" i="819"/>
  <c r="Q74" i="819" a="1"/>
  <c r="Q74" i="819" s="1"/>
  <c r="Q55" i="817" a="1"/>
  <c r="Q55" i="817" s="1"/>
  <c r="Q81" i="817" a="1"/>
  <c r="Q81" i="817" s="1"/>
  <c r="P81" i="817"/>
  <c r="O67" i="818"/>
  <c r="O68" i="817"/>
  <c r="AW11" i="819"/>
  <c r="AW12" i="819"/>
  <c r="AW10" i="819"/>
  <c r="O69" i="819"/>
  <c r="AX13" i="817"/>
  <c r="AX11" i="817"/>
  <c r="AW15" i="817"/>
  <c r="Q77" i="819" a="1"/>
  <c r="Q77" i="819" s="1"/>
  <c r="P77" i="819"/>
  <c r="O66" i="817"/>
  <c r="O47" i="818"/>
  <c r="AX10" i="820"/>
  <c r="AW13" i="820"/>
  <c r="AW14" i="820"/>
  <c r="O66" i="818"/>
  <c r="O57" i="819"/>
  <c r="P47" i="819"/>
  <c r="Q47" i="819" a="1"/>
  <c r="Q47" i="819" s="1"/>
  <c r="O67" i="817"/>
  <c r="O51" i="817"/>
  <c r="M59" i="819"/>
  <c r="O64" i="819"/>
  <c r="AA16" i="741"/>
  <c r="AA12" i="741"/>
  <c r="AA15" i="741"/>
  <c r="AA11" i="741"/>
  <c r="AA13" i="741"/>
  <c r="AA14" i="741"/>
  <c r="Z20" i="816"/>
  <c r="AA20" i="816" s="1"/>
  <c r="Z19" i="816"/>
  <c r="AA19" i="816" s="1"/>
  <c r="T10" i="816"/>
  <c r="T11" i="816"/>
  <c r="W7" i="816"/>
  <c r="Y7" i="816" s="1"/>
  <c r="X10" i="816"/>
  <c r="X9" i="816" s="1"/>
  <c r="W8" i="816"/>
  <c r="Y8" i="816" s="1"/>
  <c r="F3" i="813"/>
  <c r="M4" i="813"/>
  <c r="U14" i="814"/>
  <c r="T6" i="814"/>
  <c r="V13" i="814"/>
  <c r="AL9" i="814"/>
  <c r="AN9" i="814" s="1"/>
  <c r="AC6" i="814"/>
  <c r="AD14" i="814"/>
  <c r="AE13" i="814"/>
  <c r="P9" i="809"/>
  <c r="P8" i="809"/>
  <c r="T8" i="809"/>
  <c r="T7" i="809" s="1"/>
  <c r="X5" i="809" s="1"/>
  <c r="N3" i="809"/>
  <c r="G3" i="809"/>
  <c r="O3" i="809" s="1"/>
  <c r="Z3" i="809" a="1"/>
  <c r="AE13" i="810"/>
  <c r="AC6" i="810"/>
  <c r="AD14" i="810"/>
  <c r="AU16" i="810"/>
  <c r="AW16" i="810" s="1"/>
  <c r="T6" i="810"/>
  <c r="V13" i="810"/>
  <c r="U14" i="810"/>
  <c r="AX25" i="810"/>
  <c r="AY25" i="810" s="1"/>
  <c r="AP23" i="810"/>
  <c r="G3" i="810"/>
  <c r="AP4" i="810"/>
  <c r="AZ6" i="810"/>
  <c r="AZ25" i="810"/>
  <c r="AU8" i="810"/>
  <c r="AW8" i="810" s="1"/>
  <c r="AX7" i="810" s="1"/>
  <c r="AY7" i="810" s="1"/>
  <c r="AX6" i="810"/>
  <c r="AY6" i="810" s="1"/>
  <c r="W39" i="811"/>
  <c r="W38" i="811" s="1"/>
  <c r="V37" i="811"/>
  <c r="X37" i="811" s="1"/>
  <c r="F3" i="811"/>
  <c r="Y24" i="811"/>
  <c r="AB30" i="811"/>
  <c r="AB29" i="811"/>
  <c r="V36" i="811"/>
  <c r="X36" i="811" s="1"/>
  <c r="Z3" i="811"/>
  <c r="S3" i="811"/>
  <c r="AA3" i="811" s="1"/>
  <c r="S3" i="812"/>
  <c r="AA3" i="812" s="1"/>
  <c r="Z3" i="812"/>
  <c r="AH5" i="812"/>
  <c r="AI5" i="812" s="1"/>
  <c r="AE7" i="812"/>
  <c r="AG7" i="812" s="1"/>
  <c r="AH6" i="812" s="1"/>
  <c r="AI6" i="812" s="1"/>
  <c r="S5" i="809"/>
  <c r="P69" i="820" l="1"/>
  <c r="P70" i="819"/>
  <c r="Q62" i="819" a="1"/>
  <c r="Q62" i="819" s="1"/>
  <c r="Q53" i="820" a="1"/>
  <c r="Q53" i="820" s="1"/>
  <c r="P65" i="818"/>
  <c r="P66" i="819"/>
  <c r="Q65" i="820" a="1"/>
  <c r="Q65" i="820" s="1"/>
  <c r="Q56" i="818" a="1"/>
  <c r="Q56" i="818" s="1"/>
  <c r="Q48" i="818" a="1"/>
  <c r="Q48" i="818" s="1"/>
  <c r="P48" i="819"/>
  <c r="P55" i="820"/>
  <c r="P61" i="817"/>
  <c r="Q54" i="817" a="1"/>
  <c r="Q54" i="817" s="1"/>
  <c r="Q57" i="817" a="1"/>
  <c r="Q57" i="817" s="1"/>
  <c r="Q48" i="820" a="1"/>
  <c r="Q48" i="820" s="1"/>
  <c r="Q52" i="820" a="1"/>
  <c r="Q52" i="820" s="1"/>
  <c r="Q48" i="817" a="1"/>
  <c r="Q48" i="817" s="1"/>
  <c r="Q60" i="819" a="1"/>
  <c r="Q60" i="819" s="1"/>
  <c r="Q62" i="817" a="1"/>
  <c r="Q62" i="817" s="1"/>
  <c r="P53" i="819"/>
  <c r="Q68" i="820" a="1"/>
  <c r="Q68" i="820" s="1"/>
  <c r="P51" i="819"/>
  <c r="Q50" i="819" a="1"/>
  <c r="Q50" i="819" s="1"/>
  <c r="P61" i="818"/>
  <c r="Q58" i="819" a="1"/>
  <c r="Q58" i="819" s="1"/>
  <c r="P62" i="819"/>
  <c r="AR13" i="738"/>
  <c r="AJ13" i="738"/>
  <c r="AO13" i="738" s="1"/>
  <c r="AW9" i="738"/>
  <c r="AF9" i="738"/>
  <c r="AG9" i="738" s="1"/>
  <c r="AH9" i="738" s="1"/>
  <c r="AF8" i="738"/>
  <c r="AG8" i="738" s="1"/>
  <c r="AH8" i="738" s="1"/>
  <c r="BB17" i="738"/>
  <c r="AF7" i="738"/>
  <c r="AG7" i="738" s="1"/>
  <c r="AH7" i="738" s="1"/>
  <c r="BB13" i="738"/>
  <c r="BB16" i="738"/>
  <c r="P53" i="818"/>
  <c r="Q53" i="818" a="1"/>
  <c r="Q53" i="818" s="1"/>
  <c r="P62" i="818"/>
  <c r="Q62" i="818" a="1"/>
  <c r="Q62" i="818" s="1"/>
  <c r="Q56" i="817" a="1"/>
  <c r="Q56" i="817" s="1"/>
  <c r="P56" i="817"/>
  <c r="M71" i="818"/>
  <c r="O59" i="818"/>
  <c r="P60" i="817"/>
  <c r="Q60" i="817" a="1"/>
  <c r="Q60" i="817" s="1"/>
  <c r="Q57" i="819" a="1"/>
  <c r="Q57" i="819" s="1"/>
  <c r="P57" i="819"/>
  <c r="Q68" i="817" a="1"/>
  <c r="Q68" i="817" s="1"/>
  <c r="P68" i="817"/>
  <c r="P64" i="818"/>
  <c r="Q64" i="818" a="1"/>
  <c r="Q64" i="818" s="1"/>
  <c r="Q47" i="820" a="1"/>
  <c r="Q47" i="820" s="1"/>
  <c r="P47" i="820"/>
  <c r="Q63" i="819" a="1"/>
  <c r="Q63" i="819" s="1"/>
  <c r="P63" i="819"/>
  <c r="M71" i="817"/>
  <c r="O59" i="817"/>
  <c r="P49" i="817"/>
  <c r="Q49" i="817" a="1"/>
  <c r="Q49" i="817" s="1"/>
  <c r="P70" i="817"/>
  <c r="Q70" i="817" a="1"/>
  <c r="Q70" i="817" s="1"/>
  <c r="Q64" i="817" a="1"/>
  <c r="Q64" i="817" s="1"/>
  <c r="P64" i="817"/>
  <c r="Q67" i="817" a="1"/>
  <c r="Q67" i="817" s="1"/>
  <c r="P67" i="817"/>
  <c r="P67" i="818"/>
  <c r="Q67" i="818" a="1"/>
  <c r="Q67" i="818" s="1"/>
  <c r="P55" i="818"/>
  <c r="Q55" i="818" a="1"/>
  <c r="Q55" i="818" s="1"/>
  <c r="P54" i="820"/>
  <c r="Q54" i="820" a="1"/>
  <c r="Q54" i="820" s="1"/>
  <c r="Q50" i="820" a="1"/>
  <c r="Q50" i="820" s="1"/>
  <c r="P50" i="820"/>
  <c r="P64" i="819"/>
  <c r="Q64" i="819" a="1"/>
  <c r="Q64" i="819" s="1"/>
  <c r="M71" i="819"/>
  <c r="O59" i="819"/>
  <c r="Q69" i="819" a="1"/>
  <c r="Q69" i="819" s="1"/>
  <c r="P69" i="819"/>
  <c r="P70" i="820"/>
  <c r="Q70" i="820" a="1"/>
  <c r="Q70" i="820" s="1"/>
  <c r="P52" i="818"/>
  <c r="Q52" i="818" a="1"/>
  <c r="Q52" i="818" s="1"/>
  <c r="P58" i="818"/>
  <c r="Q58" i="818" a="1"/>
  <c r="Q58" i="818" s="1"/>
  <c r="Q51" i="820" a="1"/>
  <c r="Q51" i="820" s="1"/>
  <c r="P51" i="820"/>
  <c r="Q49" i="820" a="1"/>
  <c r="Q49" i="820" s="1"/>
  <c r="P49" i="820"/>
  <c r="P68" i="818"/>
  <c r="Q68" i="818" a="1"/>
  <c r="Q68" i="818" s="1"/>
  <c r="P58" i="820"/>
  <c r="Q58" i="820" a="1"/>
  <c r="Q58" i="820" s="1"/>
  <c r="Q61" i="819" a="1"/>
  <c r="Q61" i="819" s="1"/>
  <c r="P61" i="819"/>
  <c r="P52" i="817"/>
  <c r="Q52" i="817" a="1"/>
  <c r="Q52" i="817" s="1"/>
  <c r="Q53" i="817" a="1"/>
  <c r="Q53" i="817" s="1"/>
  <c r="P53" i="817"/>
  <c r="P66" i="817"/>
  <c r="Q66" i="817" a="1"/>
  <c r="Q66" i="817" s="1"/>
  <c r="Q69" i="817" a="1"/>
  <c r="Q69" i="817" s="1"/>
  <c r="P69" i="817"/>
  <c r="Q51" i="817" a="1"/>
  <c r="Q51" i="817" s="1"/>
  <c r="P51" i="817"/>
  <c r="Q66" i="818" a="1"/>
  <c r="Q66" i="818" s="1"/>
  <c r="P66" i="818"/>
  <c r="Q47" i="818" a="1"/>
  <c r="Q47" i="818" s="1"/>
  <c r="P47" i="818"/>
  <c r="Q65" i="817" a="1"/>
  <c r="Q65" i="817" s="1"/>
  <c r="P65" i="817"/>
  <c r="Q49" i="819" a="1"/>
  <c r="Q49" i="819" s="1"/>
  <c r="P49" i="819"/>
  <c r="Q47" i="817" a="1"/>
  <c r="Q47" i="817" s="1"/>
  <c r="P47" i="817"/>
  <c r="P62" i="820"/>
  <c r="Q62" i="820" a="1"/>
  <c r="Q62" i="820" s="1"/>
  <c r="M71" i="820"/>
  <c r="O59" i="820"/>
  <c r="P54" i="818"/>
  <c r="Q54" i="818" a="1"/>
  <c r="Q54" i="818" s="1"/>
  <c r="Q54" i="819" a="1"/>
  <c r="Q54" i="819" s="1"/>
  <c r="P54" i="819"/>
  <c r="P60" i="818"/>
  <c r="Q60" i="818" a="1"/>
  <c r="Q60" i="818" s="1"/>
  <c r="Q61" i="820" a="1"/>
  <c r="Q61" i="820" s="1"/>
  <c r="P61" i="820"/>
  <c r="P64" i="820"/>
  <c r="Q64" i="820" a="1"/>
  <c r="Q64" i="820" s="1"/>
  <c r="Q63" i="820" a="1"/>
  <c r="Q63" i="820" s="1"/>
  <c r="P63" i="820"/>
  <c r="AL8" i="814"/>
  <c r="AN8" i="814" s="1"/>
  <c r="AA24" i="741"/>
  <c r="AA22" i="741"/>
  <c r="AA21" i="741"/>
  <c r="AA20" i="741"/>
  <c r="AA23" i="741"/>
  <c r="AA34" i="741"/>
  <c r="AB32" i="741"/>
  <c r="AB30" i="741"/>
  <c r="AB27" i="741"/>
  <c r="AB23" i="741"/>
  <c r="AA33" i="741"/>
  <c r="AA32" i="741"/>
  <c r="AB29" i="741"/>
  <c r="AB26" i="741"/>
  <c r="AB22" i="741"/>
  <c r="AA28" i="741"/>
  <c r="AA27" i="741"/>
  <c r="AA26" i="741"/>
  <c r="AA25" i="741"/>
  <c r="AB20" i="741"/>
  <c r="AA30" i="741"/>
  <c r="AA29" i="741"/>
  <c r="AA31" i="741"/>
  <c r="AB25" i="741"/>
  <c r="AB21" i="741"/>
  <c r="AB34" i="741"/>
  <c r="AB33" i="741"/>
  <c r="AB31" i="741"/>
  <c r="AB28" i="741"/>
  <c r="AB24" i="741"/>
  <c r="W9" i="816"/>
  <c r="Y9" i="816" s="1"/>
  <c r="Z7" i="816" s="1"/>
  <c r="AA7" i="816" s="1"/>
  <c r="N4" i="813"/>
  <c r="G3" i="813"/>
  <c r="O4" i="813" s="1"/>
  <c r="AE14" i="814"/>
  <c r="AC8" i="814" s="1"/>
  <c r="AF7" i="814"/>
  <c r="AF5" i="814"/>
  <c r="AF6" i="814" s="1"/>
  <c r="T7" i="814"/>
  <c r="T5" i="814"/>
  <c r="AC7" i="814"/>
  <c r="AC5" i="814"/>
  <c r="W7" i="814"/>
  <c r="W5" i="814"/>
  <c r="W6" i="814" s="1"/>
  <c r="V14" i="814"/>
  <c r="T8" i="814" s="1"/>
  <c r="AL10" i="814"/>
  <c r="AN10" i="814" s="1"/>
  <c r="AO9" i="814" s="1"/>
  <c r="AP9" i="814" s="1"/>
  <c r="S7" i="809"/>
  <c r="U6" i="809"/>
  <c r="U5" i="809"/>
  <c r="Z8" i="809"/>
  <c r="Z4" i="809"/>
  <c r="Z7" i="809"/>
  <c r="Z3" i="809"/>
  <c r="Z5" i="809"/>
  <c r="Z6" i="809"/>
  <c r="X6" i="809"/>
  <c r="AQ23" i="810"/>
  <c r="AQ4" i="810"/>
  <c r="AE14" i="810"/>
  <c r="AC8" i="810" s="1"/>
  <c r="AF5" i="810"/>
  <c r="AF6" i="810" s="1"/>
  <c r="AF7" i="810"/>
  <c r="AU15" i="810"/>
  <c r="AW15" i="810" s="1"/>
  <c r="AC7" i="810"/>
  <c r="AC5" i="810"/>
  <c r="V14" i="810"/>
  <c r="T8" i="810" s="1"/>
  <c r="W5" i="810"/>
  <c r="W6" i="810" s="1"/>
  <c r="AU17" i="810"/>
  <c r="AW17" i="810" s="1"/>
  <c r="AX16" i="810" s="1"/>
  <c r="AY16" i="810" s="1"/>
  <c r="W7" i="810"/>
  <c r="W13" i="810"/>
  <c r="X13" i="810" s="1"/>
  <c r="Y13" i="810" s="1"/>
  <c r="T5" i="810"/>
  <c r="T7" i="810"/>
  <c r="Z24" i="811"/>
  <c r="G3" i="811"/>
  <c r="V38" i="811"/>
  <c r="X38" i="811" s="1"/>
  <c r="Y37" i="811" s="1"/>
  <c r="Z37" i="811" s="1"/>
  <c r="AP13" i="738" l="1"/>
  <c r="AZ9" i="738"/>
  <c r="AX12" i="738"/>
  <c r="AX17" i="738"/>
  <c r="AX15" i="738"/>
  <c r="AX14" i="738"/>
  <c r="AX16" i="738"/>
  <c r="AX13" i="738"/>
  <c r="AK13" i="738"/>
  <c r="Q59" i="819" a="1"/>
  <c r="Q59" i="819" s="1"/>
  <c r="P59" i="819"/>
  <c r="P59" i="818"/>
  <c r="Q59" i="818" a="1"/>
  <c r="Q59" i="818" s="1"/>
  <c r="O71" i="818"/>
  <c r="O33" i="818" s="1"/>
  <c r="O71" i="817"/>
  <c r="O19" i="817" s="1"/>
  <c r="O17" i="818"/>
  <c r="O42" i="817"/>
  <c r="Q59" i="817" a="1"/>
  <c r="Q59" i="817" s="1"/>
  <c r="P59" i="817"/>
  <c r="O21" i="820"/>
  <c r="O71" i="820"/>
  <c r="O20" i="820" s="1"/>
  <c r="O46" i="820"/>
  <c r="O36" i="820"/>
  <c r="O45" i="818"/>
  <c r="O42" i="820"/>
  <c r="O71" i="819"/>
  <c r="O18" i="819" s="1"/>
  <c r="O40" i="818"/>
  <c r="O8" i="820"/>
  <c r="O37" i="819"/>
  <c r="O44" i="819"/>
  <c r="O39" i="820"/>
  <c r="Q59" i="820" a="1"/>
  <c r="Q59" i="820" s="1"/>
  <c r="P59" i="820"/>
  <c r="O5" i="820"/>
  <c r="O9" i="818"/>
  <c r="O17" i="820"/>
  <c r="O42" i="818"/>
  <c r="O46" i="818"/>
  <c r="O9" i="820"/>
  <c r="O43" i="820"/>
  <c r="O36" i="818"/>
  <c r="O44" i="818"/>
  <c r="O8" i="817"/>
  <c r="O43" i="818"/>
  <c r="O8" i="818"/>
  <c r="Z8" i="816"/>
  <c r="AA8" i="816" s="1"/>
  <c r="AO8" i="814"/>
  <c r="AP8" i="814" s="1"/>
  <c r="W13" i="814"/>
  <c r="X13" i="814" s="1"/>
  <c r="Y13" i="814" s="1"/>
  <c r="AF13" i="814"/>
  <c r="AG13" i="814" s="1"/>
  <c r="AH13" i="814" s="1"/>
  <c r="U7" i="809"/>
  <c r="V6" i="809" s="1"/>
  <c r="W6" i="809" s="1"/>
  <c r="S8" i="809"/>
  <c r="AX15" i="810"/>
  <c r="AY15" i="810" s="1"/>
  <c r="AF13" i="810"/>
  <c r="AG13" i="810" s="1"/>
  <c r="AH13" i="810" s="1"/>
  <c r="Y36" i="811"/>
  <c r="Z36" i="811" s="1"/>
  <c r="AA24" i="811"/>
  <c r="AL24" i="811" a="1"/>
  <c r="K5" i="811"/>
  <c r="O41" i="820" l="1"/>
  <c r="O37" i="820"/>
  <c r="O5" i="817"/>
  <c r="O21" i="817"/>
  <c r="Q21" i="817" s="1" a="1"/>
  <c r="Q21" i="817" s="1"/>
  <c r="O17" i="817"/>
  <c r="O27" i="820"/>
  <c r="O40" i="820"/>
  <c r="P40" i="820" s="1"/>
  <c r="O22" i="820"/>
  <c r="Q22" i="820" s="1" a="1"/>
  <c r="Q22" i="820" s="1"/>
  <c r="O37" i="817"/>
  <c r="O46" i="817"/>
  <c r="Q19" i="817" a="1"/>
  <c r="Q19" i="817" s="1"/>
  <c r="P19" i="817"/>
  <c r="Q18" i="819" a="1"/>
  <c r="Q18" i="819" s="1"/>
  <c r="P18" i="819"/>
  <c r="P33" i="818"/>
  <c r="Q33" i="818" a="1"/>
  <c r="Q33" i="818" s="1"/>
  <c r="O41" i="819"/>
  <c r="O8" i="819"/>
  <c r="O41" i="818"/>
  <c r="P41" i="818" s="1"/>
  <c r="O22" i="817"/>
  <c r="Q22" i="817" s="1" a="1"/>
  <c r="Q22" i="817" s="1"/>
  <c r="O17" i="819"/>
  <c r="O37" i="818"/>
  <c r="O5" i="818"/>
  <c r="P5" i="818" s="1"/>
  <c r="O36" i="817"/>
  <c r="Q36" i="817" s="1" a="1"/>
  <c r="Q36" i="817" s="1"/>
  <c r="O45" i="817"/>
  <c r="Q45" i="817" s="1" a="1"/>
  <c r="Q45" i="817" s="1"/>
  <c r="O45" i="820"/>
  <c r="Q45" i="820" s="1" a="1"/>
  <c r="Q45" i="820" s="1"/>
  <c r="O46" i="819"/>
  <c r="P46" i="819" s="1"/>
  <c r="O26" i="817"/>
  <c r="O15" i="818"/>
  <c r="O24" i="817"/>
  <c r="O19" i="820"/>
  <c r="O34" i="820"/>
  <c r="O15" i="819"/>
  <c r="O30" i="818"/>
  <c r="O16" i="818"/>
  <c r="O32" i="819"/>
  <c r="O11" i="818"/>
  <c r="O26" i="819"/>
  <c r="O33" i="820"/>
  <c r="O24" i="818"/>
  <c r="O15" i="817"/>
  <c r="O32" i="820"/>
  <c r="O22" i="819"/>
  <c r="Q22" i="819" s="1" a="1"/>
  <c r="Q22" i="819" s="1"/>
  <c r="O20" i="817"/>
  <c r="Q20" i="817" s="1" a="1"/>
  <c r="Q20" i="817" s="1"/>
  <c r="O13" i="817"/>
  <c r="O4" i="817"/>
  <c r="O23" i="817"/>
  <c r="O16" i="817"/>
  <c r="O39" i="818"/>
  <c r="O22" i="818"/>
  <c r="O27" i="818"/>
  <c r="O40" i="817"/>
  <c r="O9" i="817"/>
  <c r="P9" i="817" s="1"/>
  <c r="O14" i="817"/>
  <c r="O11" i="817"/>
  <c r="O19" i="819"/>
  <c r="O29" i="820"/>
  <c r="O30" i="819"/>
  <c r="O29" i="817"/>
  <c r="O4" i="820"/>
  <c r="O34" i="818"/>
  <c r="O12" i="818"/>
  <c r="O13" i="820"/>
  <c r="O33" i="817"/>
  <c r="O11" i="820"/>
  <c r="O15" i="820"/>
  <c r="O12" i="817"/>
  <c r="O83" i="819"/>
  <c r="U12" i="819" s="1"/>
  <c r="T12" i="819" s="1"/>
  <c r="O4" i="819"/>
  <c r="O12" i="819"/>
  <c r="O25" i="819"/>
  <c r="O36" i="819"/>
  <c r="O29" i="819"/>
  <c r="O38" i="819"/>
  <c r="O13" i="819"/>
  <c r="O20" i="818"/>
  <c r="Q20" i="818" s="1" a="1"/>
  <c r="Q20" i="818" s="1"/>
  <c r="O26" i="818"/>
  <c r="O4" i="818"/>
  <c r="O28" i="818"/>
  <c r="O13" i="818"/>
  <c r="O23" i="818"/>
  <c r="O14" i="818"/>
  <c r="O27" i="819"/>
  <c r="Q27" i="819" s="1" a="1"/>
  <c r="Q27" i="819" s="1"/>
  <c r="O44" i="817"/>
  <c r="P44" i="817" s="1"/>
  <c r="O41" i="817"/>
  <c r="P41" i="817" s="1"/>
  <c r="O39" i="817"/>
  <c r="Q39" i="817" s="1" a="1"/>
  <c r="Q39" i="817" s="1"/>
  <c r="O11" i="819"/>
  <c r="O18" i="817"/>
  <c r="O25" i="820"/>
  <c r="O32" i="818"/>
  <c r="O24" i="819"/>
  <c r="O24" i="820"/>
  <c r="O43" i="817"/>
  <c r="O14" i="819"/>
  <c r="O32" i="817"/>
  <c r="O18" i="818"/>
  <c r="O42" i="819"/>
  <c r="O28" i="820"/>
  <c r="O25" i="818"/>
  <c r="O19" i="818"/>
  <c r="O26" i="820"/>
  <c r="O34" i="819"/>
  <c r="O9" i="819"/>
  <c r="O43" i="819"/>
  <c r="Q43" i="819" s="1" a="1"/>
  <c r="Q43" i="819" s="1"/>
  <c r="O21" i="819"/>
  <c r="O38" i="818"/>
  <c r="O27" i="817"/>
  <c r="P27" i="817" s="1"/>
  <c r="O45" i="819"/>
  <c r="Q45" i="819" s="1" a="1"/>
  <c r="Q45" i="819" s="1"/>
  <c r="O38" i="817"/>
  <c r="O39" i="819"/>
  <c r="O21" i="818"/>
  <c r="P21" i="818" s="1"/>
  <c r="O5" i="819"/>
  <c r="Q5" i="819" s="1" a="1"/>
  <c r="Q5" i="819" s="1"/>
  <c r="O44" i="820"/>
  <c r="Q44" i="820" s="1" a="1"/>
  <c r="Q44" i="820" s="1"/>
  <c r="O40" i="819"/>
  <c r="O14" i="820"/>
  <c r="O25" i="817"/>
  <c r="O30" i="820"/>
  <c r="O33" i="819"/>
  <c r="O23" i="819"/>
  <c r="O28" i="819"/>
  <c r="O16" i="819"/>
  <c r="O38" i="820"/>
  <c r="O30" i="817"/>
  <c r="O23" i="820"/>
  <c r="O18" i="820"/>
  <c r="O16" i="820"/>
  <c r="O29" i="818"/>
  <c r="O28" i="817"/>
  <c r="O12" i="820"/>
  <c r="O34" i="817"/>
  <c r="P36" i="817"/>
  <c r="P45" i="820"/>
  <c r="O35" i="820"/>
  <c r="P35" i="820" s="1"/>
  <c r="O83" i="818"/>
  <c r="U11" i="818" s="1"/>
  <c r="P39" i="817"/>
  <c r="Q41" i="817" a="1"/>
  <c r="Q41" i="817" s="1"/>
  <c r="O10" i="818"/>
  <c r="O7" i="818"/>
  <c r="O7" i="820"/>
  <c r="Q7" i="820" s="1" a="1"/>
  <c r="Q7" i="820" s="1"/>
  <c r="O83" i="820"/>
  <c r="U10" i="820" s="1"/>
  <c r="O83" i="817"/>
  <c r="U11" i="817" s="1"/>
  <c r="Q9" i="817" a="1"/>
  <c r="Q9" i="817" s="1"/>
  <c r="O10" i="817"/>
  <c r="Q10" i="817" s="1" a="1"/>
  <c r="Q10" i="817" s="1"/>
  <c r="O7" i="817"/>
  <c r="P7" i="817" s="1"/>
  <c r="O35" i="817"/>
  <c r="Q46" i="819" a="1"/>
  <c r="Q46" i="819" s="1"/>
  <c r="P45" i="817"/>
  <c r="AY17" i="738"/>
  <c r="AZ14" i="738"/>
  <c r="AY15" i="738"/>
  <c r="AZ13" i="738"/>
  <c r="AZ12" i="738"/>
  <c r="AY16" i="738"/>
  <c r="AY13" i="738"/>
  <c r="AZ17" i="738"/>
  <c r="AZ15" i="738"/>
  <c r="AY12" i="738"/>
  <c r="AY14" i="738"/>
  <c r="AZ16" i="738"/>
  <c r="AS13" i="738"/>
  <c r="AM13" i="738"/>
  <c r="AQ13" i="738" s="1"/>
  <c r="O20" i="819"/>
  <c r="Q20" i="819" s="1" a="1"/>
  <c r="Q20" i="819" s="1"/>
  <c r="P44" i="820"/>
  <c r="Q42" i="820" a="1"/>
  <c r="Q42" i="820" s="1"/>
  <c r="P42" i="820"/>
  <c r="Q40" i="820" a="1"/>
  <c r="Q40" i="820" s="1"/>
  <c r="P22" i="820"/>
  <c r="Q27" i="817" a="1"/>
  <c r="Q27" i="817" s="1"/>
  <c r="P45" i="819"/>
  <c r="P38" i="817"/>
  <c r="Q38" i="817" a="1"/>
  <c r="Q38" i="817" s="1"/>
  <c r="P21" i="817"/>
  <c r="O10" i="819"/>
  <c r="Q35" i="820" a="1"/>
  <c r="Q35" i="820" s="1"/>
  <c r="P39" i="820"/>
  <c r="Q39" i="820" a="1"/>
  <c r="Q39" i="820" s="1"/>
  <c r="P41" i="819"/>
  <c r="Q41" i="819" a="1"/>
  <c r="Q41" i="819" s="1"/>
  <c r="P43" i="818"/>
  <c r="Q43" i="818" a="1"/>
  <c r="Q43" i="818" s="1"/>
  <c r="Q44" i="818" a="1"/>
  <c r="Q44" i="818" s="1"/>
  <c r="P44" i="818"/>
  <c r="P17" i="817"/>
  <c r="Q17" i="817" a="1"/>
  <c r="Q17" i="817" s="1"/>
  <c r="P9" i="820"/>
  <c r="Q9" i="820" a="1"/>
  <c r="Q9" i="820" s="1"/>
  <c r="P17" i="820"/>
  <c r="Q17" i="820" a="1"/>
  <c r="Q17" i="820" s="1"/>
  <c r="BH3" i="820" a="1"/>
  <c r="AO3" i="820" a="1"/>
  <c r="P44" i="819"/>
  <c r="Q44" i="819" a="1"/>
  <c r="Q44" i="819" s="1"/>
  <c r="P37" i="819"/>
  <c r="Q37" i="819" a="1"/>
  <c r="Q37" i="819" s="1"/>
  <c r="Q8" i="820" a="1"/>
  <c r="Q8" i="820" s="1"/>
  <c r="P8" i="820"/>
  <c r="Q8" i="819" a="1"/>
  <c r="Q8" i="819" s="1"/>
  <c r="P8" i="819"/>
  <c r="P21" i="819"/>
  <c r="Q21" i="819" a="1"/>
  <c r="Q21" i="819" s="1"/>
  <c r="P45" i="818"/>
  <c r="Q45" i="818" a="1"/>
  <c r="Q45" i="818" s="1"/>
  <c r="Q36" i="820" a="1"/>
  <c r="Q36" i="820" s="1"/>
  <c r="P36" i="820"/>
  <c r="Q20" i="820" a="1"/>
  <c r="Q20" i="820" s="1"/>
  <c r="P20" i="820"/>
  <c r="P42" i="817"/>
  <c r="Q42" i="817" a="1"/>
  <c r="Q42" i="817" s="1"/>
  <c r="Q41" i="818" a="1"/>
  <c r="Q41" i="818" s="1"/>
  <c r="P20" i="817"/>
  <c r="P39" i="819"/>
  <c r="Q39" i="819" a="1"/>
  <c r="Q39" i="819" s="1"/>
  <c r="P37" i="818"/>
  <c r="Q37" i="818" a="1"/>
  <c r="Q37" i="818" s="1"/>
  <c r="Q21" i="818" a="1"/>
  <c r="Q21" i="818" s="1"/>
  <c r="P43" i="820"/>
  <c r="Q43" i="820" a="1"/>
  <c r="Q43" i="820" s="1"/>
  <c r="P42" i="818"/>
  <c r="Q42" i="818" a="1"/>
  <c r="Q42" i="818" s="1"/>
  <c r="T11" i="818"/>
  <c r="Q46" i="818" a="1"/>
  <c r="Q46" i="818" s="1"/>
  <c r="P46" i="818"/>
  <c r="T11" i="817"/>
  <c r="Q9" i="818" a="1"/>
  <c r="Q9" i="818" s="1"/>
  <c r="P9" i="818"/>
  <c r="P5" i="820"/>
  <c r="Q5" i="820" a="1"/>
  <c r="Q5" i="820" s="1"/>
  <c r="Q40" i="818" a="1"/>
  <c r="Q40" i="818" s="1"/>
  <c r="P40" i="818"/>
  <c r="P22" i="819"/>
  <c r="P10" i="817"/>
  <c r="AD3" i="817" a="1"/>
  <c r="AY3" i="817" a="1"/>
  <c r="P46" i="820"/>
  <c r="Q46" i="820" a="1"/>
  <c r="Q46" i="820" s="1"/>
  <c r="Q71" i="820" a="1"/>
  <c r="Q71" i="820" s="1"/>
  <c r="P71" i="820"/>
  <c r="O6" i="820"/>
  <c r="O31" i="820"/>
  <c r="Q38" i="818" a="1"/>
  <c r="Q38" i="818" s="1"/>
  <c r="P38" i="818"/>
  <c r="P17" i="818"/>
  <c r="Q17" i="818" a="1"/>
  <c r="Q17" i="818" s="1"/>
  <c r="Q37" i="817" a="1"/>
  <c r="Q37" i="817" s="1"/>
  <c r="P37" i="817"/>
  <c r="P22" i="817"/>
  <c r="P17" i="819"/>
  <c r="Q17" i="819" a="1"/>
  <c r="Q17" i="819" s="1"/>
  <c r="P7" i="818"/>
  <c r="AO3" i="818" a="1"/>
  <c r="BH3" i="818" a="1"/>
  <c r="Q7" i="818" a="1"/>
  <c r="Q7" i="818" s="1"/>
  <c r="Q22" i="818" a="1"/>
  <c r="Q22" i="818" s="1"/>
  <c r="P22" i="818"/>
  <c r="Q5" i="818" a="1"/>
  <c r="Q5" i="818" s="1"/>
  <c r="P27" i="819"/>
  <c r="BH3" i="817" a="1"/>
  <c r="AO3" i="817" a="1"/>
  <c r="Q8" i="817" a="1"/>
  <c r="Q8" i="817" s="1"/>
  <c r="P8" i="817"/>
  <c r="Q36" i="818" a="1"/>
  <c r="Q36" i="818" s="1"/>
  <c r="P36" i="818"/>
  <c r="P8" i="818"/>
  <c r="Q8" i="818" a="1"/>
  <c r="Q8" i="818" s="1"/>
  <c r="Q35" i="817" a="1"/>
  <c r="Q35" i="817" s="1"/>
  <c r="P35" i="817"/>
  <c r="T10" i="820"/>
  <c r="P27" i="820"/>
  <c r="Q27" i="820" a="1"/>
  <c r="Q27" i="820" s="1"/>
  <c r="P9" i="819"/>
  <c r="Q9" i="819" a="1"/>
  <c r="Q9" i="819" s="1"/>
  <c r="P71" i="819"/>
  <c r="Q71" i="819" a="1"/>
  <c r="Q71" i="819" s="1"/>
  <c r="O6" i="819"/>
  <c r="O31" i="819"/>
  <c r="O35" i="819"/>
  <c r="P41" i="820"/>
  <c r="Q41" i="820" a="1"/>
  <c r="Q41" i="820" s="1"/>
  <c r="P37" i="820"/>
  <c r="Q37" i="820" a="1"/>
  <c r="Q37" i="820" s="1"/>
  <c r="P21" i="820"/>
  <c r="Q21" i="820" a="1"/>
  <c r="Q21" i="820" s="1"/>
  <c r="Q5" i="817" a="1"/>
  <c r="Q5" i="817" s="1"/>
  <c r="P5" i="817"/>
  <c r="O7" i="819"/>
  <c r="P46" i="817"/>
  <c r="Q46" i="817" a="1"/>
  <c r="Q46" i="817" s="1"/>
  <c r="Q71" i="817" a="1"/>
  <c r="Q71" i="817" s="1"/>
  <c r="P71" i="817"/>
  <c r="O6" i="817"/>
  <c r="O31" i="817"/>
  <c r="P10" i="818"/>
  <c r="AY3" i="818" a="1"/>
  <c r="AD3" i="818" a="1"/>
  <c r="Q10" i="818" a="1"/>
  <c r="Q10" i="818" s="1"/>
  <c r="P39" i="818"/>
  <c r="Q39" i="818" a="1"/>
  <c r="Q39" i="818" s="1"/>
  <c r="Q71" i="818" a="1"/>
  <c r="Q71" i="818" s="1"/>
  <c r="P71" i="818"/>
  <c r="O31" i="818"/>
  <c r="O6" i="818"/>
  <c r="O35" i="818"/>
  <c r="P27" i="818"/>
  <c r="Q27" i="818" a="1"/>
  <c r="Q27" i="818" s="1"/>
  <c r="O10" i="820"/>
  <c r="V5" i="809"/>
  <c r="W5" i="809" s="1"/>
  <c r="AL29" i="811"/>
  <c r="AL25" i="811"/>
  <c r="AL26" i="811"/>
  <c r="AL28" i="811"/>
  <c r="AL24" i="811"/>
  <c r="AL27" i="811"/>
  <c r="O4" i="811"/>
  <c r="P7" i="820" l="1"/>
  <c r="P20" i="818"/>
  <c r="Q44" i="817" a="1"/>
  <c r="Q44" i="817" s="1"/>
  <c r="P5" i="819"/>
  <c r="P43" i="819"/>
  <c r="P34" i="817"/>
  <c r="Q34" i="817" a="1"/>
  <c r="Q34" i="817" s="1"/>
  <c r="Q16" i="820" a="1"/>
  <c r="Q16" i="820" s="1"/>
  <c r="P16" i="820"/>
  <c r="P38" i="820"/>
  <c r="Q38" i="820" a="1"/>
  <c r="Q38" i="820" s="1"/>
  <c r="Q33" i="819" a="1"/>
  <c r="Q33" i="819" s="1"/>
  <c r="P33" i="819"/>
  <c r="P40" i="819"/>
  <c r="Q40" i="819" a="1"/>
  <c r="Q40" i="819" s="1"/>
  <c r="Q34" i="819" a="1"/>
  <c r="Q34" i="819" s="1"/>
  <c r="P34" i="819"/>
  <c r="P28" i="820"/>
  <c r="Q28" i="820" a="1"/>
  <c r="Q28" i="820" s="1"/>
  <c r="P14" i="819"/>
  <c r="Q14" i="819" a="1"/>
  <c r="Q14" i="819" s="1"/>
  <c r="Q32" i="818" a="1"/>
  <c r="Q32" i="818" s="1"/>
  <c r="P32" i="818"/>
  <c r="Q14" i="818" a="1"/>
  <c r="Q14" i="818" s="1"/>
  <c r="P14" i="818"/>
  <c r="P4" i="818"/>
  <c r="Q4" i="818" a="1"/>
  <c r="Q4" i="818" s="1"/>
  <c r="Q38" i="819" a="1"/>
  <c r="Q38" i="819" s="1"/>
  <c r="P38" i="819"/>
  <c r="P12" i="819"/>
  <c r="Q12" i="819" a="1"/>
  <c r="Q12" i="819" s="1"/>
  <c r="P15" i="820"/>
  <c r="Q15" i="820" a="1"/>
  <c r="Q15" i="820" s="1"/>
  <c r="P12" i="818"/>
  <c r="Q12" i="818" a="1"/>
  <c r="Q12" i="818" s="1"/>
  <c r="Q30" i="819" a="1"/>
  <c r="Q30" i="819" s="1"/>
  <c r="P30" i="819"/>
  <c r="P14" i="817"/>
  <c r="Q14" i="817" a="1"/>
  <c r="Q14" i="817" s="1"/>
  <c r="Q4" i="817" a="1"/>
  <c r="Q4" i="817" s="1"/>
  <c r="P4" i="817"/>
  <c r="P32" i="820"/>
  <c r="Q32" i="820" a="1"/>
  <c r="Q32" i="820" s="1"/>
  <c r="Q26" i="819" a="1"/>
  <c r="Q26" i="819" s="1"/>
  <c r="P26" i="819"/>
  <c r="P30" i="818"/>
  <c r="Q30" i="818" a="1"/>
  <c r="Q30" i="818" s="1"/>
  <c r="P24" i="817"/>
  <c r="Q24" i="817" a="1"/>
  <c r="Q24" i="817" s="1"/>
  <c r="P12" i="820"/>
  <c r="Q12" i="820" a="1"/>
  <c r="Q12" i="820" s="1"/>
  <c r="Q18" i="820" a="1"/>
  <c r="Q18" i="820" s="1"/>
  <c r="P18" i="820"/>
  <c r="Q16" i="819" a="1"/>
  <c r="Q16" i="819" s="1"/>
  <c r="P16" i="819"/>
  <c r="Q30" i="820" a="1"/>
  <c r="Q30" i="820" s="1"/>
  <c r="P30" i="820"/>
  <c r="Q26" i="820" a="1"/>
  <c r="Q26" i="820" s="1"/>
  <c r="P26" i="820"/>
  <c r="Q42" i="819" a="1"/>
  <c r="Q42" i="819" s="1"/>
  <c r="P42" i="819"/>
  <c r="Q43" i="817" a="1"/>
  <c r="Q43" i="817" s="1"/>
  <c r="P43" i="817"/>
  <c r="P25" i="820"/>
  <c r="Q25" i="820" a="1"/>
  <c r="Q25" i="820" s="1"/>
  <c r="P23" i="818"/>
  <c r="Q23" i="818" a="1"/>
  <c r="Q23" i="818" s="1"/>
  <c r="P26" i="818"/>
  <c r="Q26" i="818" a="1"/>
  <c r="Q26" i="818" s="1"/>
  <c r="P29" i="819"/>
  <c r="Q29" i="819" a="1"/>
  <c r="Q29" i="819" s="1"/>
  <c r="Q4" i="819" a="1"/>
  <c r="Q4" i="819" s="1"/>
  <c r="P4" i="819"/>
  <c r="P11" i="820"/>
  <c r="Q11" i="820" a="1"/>
  <c r="Q11" i="820" s="1"/>
  <c r="P34" i="818"/>
  <c r="Q34" i="818" a="1"/>
  <c r="Q34" i="818" s="1"/>
  <c r="P29" i="820"/>
  <c r="Q29" i="820" a="1"/>
  <c r="Q29" i="820" s="1"/>
  <c r="P13" i="817"/>
  <c r="Q13" i="817" a="1"/>
  <c r="Q13" i="817" s="1"/>
  <c r="Q15" i="817" a="1"/>
  <c r="Q15" i="817" s="1"/>
  <c r="P15" i="817"/>
  <c r="P11" i="818"/>
  <c r="U6" i="818" s="1"/>
  <c r="Q11" i="818" a="1"/>
  <c r="Q11" i="818" s="1"/>
  <c r="P15" i="819"/>
  <c r="Q15" i="819" a="1"/>
  <c r="Q15" i="819" s="1"/>
  <c r="P15" i="818"/>
  <c r="Q15" i="818" a="1"/>
  <c r="Q15" i="818" s="1"/>
  <c r="P28" i="817"/>
  <c r="Q28" i="817" a="1"/>
  <c r="Q28" i="817" s="1"/>
  <c r="P23" i="820"/>
  <c r="Q23" i="820" a="1"/>
  <c r="Q23" i="820" s="1"/>
  <c r="P28" i="819"/>
  <c r="Q28" i="819" a="1"/>
  <c r="Q28" i="819" s="1"/>
  <c r="P25" i="817"/>
  <c r="Q25" i="817" a="1"/>
  <c r="Q25" i="817" s="1"/>
  <c r="P19" i="818"/>
  <c r="Q19" i="818" a="1"/>
  <c r="Q19" i="818" s="1"/>
  <c r="Q18" i="818" a="1"/>
  <c r="Q18" i="818" s="1"/>
  <c r="P18" i="818"/>
  <c r="P24" i="820"/>
  <c r="Q24" i="820" a="1"/>
  <c r="Q24" i="820" s="1"/>
  <c r="Q18" i="817" a="1"/>
  <c r="Q18" i="817" s="1"/>
  <c r="P18" i="817"/>
  <c r="Q13" i="818" a="1"/>
  <c r="Q13" i="818" s="1"/>
  <c r="P13" i="818"/>
  <c r="P36" i="819"/>
  <c r="Q36" i="819" a="1"/>
  <c r="Q36" i="819" s="1"/>
  <c r="P33" i="817"/>
  <c r="Q33" i="817" a="1"/>
  <c r="Q33" i="817" s="1"/>
  <c r="Q4" i="820" a="1"/>
  <c r="Q4" i="820" s="1"/>
  <c r="P4" i="820"/>
  <c r="Q19" i="819" a="1"/>
  <c r="Q19" i="819" s="1"/>
  <c r="P19" i="819"/>
  <c r="P40" i="817"/>
  <c r="Q40" i="817" a="1"/>
  <c r="Q40" i="817" s="1"/>
  <c r="P16" i="817"/>
  <c r="Q16" i="817" a="1"/>
  <c r="Q16" i="817" s="1"/>
  <c r="Q24" i="818" a="1"/>
  <c r="Q24" i="818" s="1"/>
  <c r="P24" i="818"/>
  <c r="P32" i="819"/>
  <c r="Q32" i="819" a="1"/>
  <c r="Q32" i="819" s="1"/>
  <c r="Q34" i="820" a="1"/>
  <c r="Q34" i="820" s="1"/>
  <c r="P34" i="820"/>
  <c r="Q26" i="817" a="1"/>
  <c r="Q26" i="817" s="1"/>
  <c r="P26" i="817"/>
  <c r="P29" i="818"/>
  <c r="Q29" i="818" a="1"/>
  <c r="Q29" i="818" s="1"/>
  <c r="P30" i="817"/>
  <c r="Q30" i="817" a="1"/>
  <c r="Q30" i="817" s="1"/>
  <c r="P23" i="819"/>
  <c r="Q23" i="819" a="1"/>
  <c r="Q23" i="819" s="1"/>
  <c r="P14" i="820"/>
  <c r="Q14" i="820" a="1"/>
  <c r="Q14" i="820" s="1"/>
  <c r="P25" i="818"/>
  <c r="Q25" i="818" a="1"/>
  <c r="Q25" i="818" s="1"/>
  <c r="P32" i="817"/>
  <c r="Q32" i="817" a="1"/>
  <c r="Q32" i="817" s="1"/>
  <c r="P24" i="819"/>
  <c r="Q24" i="819" a="1"/>
  <c r="Q24" i="819" s="1"/>
  <c r="Q11" i="819" a="1"/>
  <c r="Q11" i="819" s="1"/>
  <c r="P11" i="819"/>
  <c r="Q28" i="818" a="1"/>
  <c r="Q28" i="818" s="1"/>
  <c r="P28" i="818"/>
  <c r="P13" i="819"/>
  <c r="Q13" i="819" a="1"/>
  <c r="Q13" i="819" s="1"/>
  <c r="Q25" i="819" a="1"/>
  <c r="Q25" i="819" s="1"/>
  <c r="P25" i="819"/>
  <c r="Q12" i="817" a="1"/>
  <c r="Q12" i="817" s="1"/>
  <c r="P12" i="817"/>
  <c r="P13" i="820"/>
  <c r="Q13" i="820" a="1"/>
  <c r="Q13" i="820" s="1"/>
  <c r="Q29" i="817" a="1"/>
  <c r="Q29" i="817" s="1"/>
  <c r="P29" i="817"/>
  <c r="Q11" i="817" a="1"/>
  <c r="Q11" i="817" s="1"/>
  <c r="P11" i="817"/>
  <c r="U6" i="817" s="1"/>
  <c r="Q23" i="817" a="1"/>
  <c r="Q23" i="817" s="1"/>
  <c r="P23" i="817"/>
  <c r="P33" i="820"/>
  <c r="Q33" i="820" a="1"/>
  <c r="Q33" i="820" s="1"/>
  <c r="P16" i="818"/>
  <c r="Q16" i="818" a="1"/>
  <c r="Q16" i="818" s="1"/>
  <c r="P19" i="820"/>
  <c r="Q19" i="820" a="1"/>
  <c r="Q19" i="820" s="1"/>
  <c r="Q7" i="817" a="1"/>
  <c r="Q7" i="817" s="1"/>
  <c r="P20" i="819"/>
  <c r="Q10" i="820" a="1"/>
  <c r="Q10" i="820" s="1"/>
  <c r="AY3" i="820" a="1"/>
  <c r="AD3" i="820" a="1"/>
  <c r="P10" i="820"/>
  <c r="T5" i="820" s="1"/>
  <c r="AY6" i="818"/>
  <c r="AY3" i="818"/>
  <c r="AY5" i="818"/>
  <c r="AY4" i="818"/>
  <c r="Q7" i="819" a="1"/>
  <c r="Q7" i="819" s="1"/>
  <c r="AO3" i="819" a="1"/>
  <c r="P7" i="819"/>
  <c r="T8" i="819" s="1"/>
  <c r="BH3" i="819" a="1"/>
  <c r="U8" i="818"/>
  <c r="AN3" i="818" a="1"/>
  <c r="BG3" i="818" a="1"/>
  <c r="AY3" i="817"/>
  <c r="AY4" i="817"/>
  <c r="AY6" i="817"/>
  <c r="AY5" i="817"/>
  <c r="V11" i="817"/>
  <c r="V11" i="818"/>
  <c r="P31" i="818"/>
  <c r="Q31" i="818" a="1"/>
  <c r="Q31" i="818" s="1"/>
  <c r="AC3" i="818" a="1"/>
  <c r="AX3" i="818" a="1"/>
  <c r="P35" i="819"/>
  <c r="Q35" i="819" a="1"/>
  <c r="Q35" i="819" s="1"/>
  <c r="BG3" i="817" a="1"/>
  <c r="U8" i="817"/>
  <c r="AN3" i="817" a="1"/>
  <c r="BH3" i="817"/>
  <c r="BH4" i="817"/>
  <c r="BH5" i="817"/>
  <c r="T8" i="818"/>
  <c r="P31" i="820"/>
  <c r="Q31" i="820" a="1"/>
  <c r="Q31" i="820" s="1"/>
  <c r="AD5" i="817"/>
  <c r="AD6" i="817"/>
  <c r="AD4" i="817"/>
  <c r="AD3" i="817"/>
  <c r="AO3" i="820"/>
  <c r="AO5" i="820"/>
  <c r="AO4" i="820"/>
  <c r="AY3" i="819" a="1"/>
  <c r="Q10" i="819" a="1"/>
  <c r="Q10" i="819" s="1"/>
  <c r="AD3" i="819" a="1"/>
  <c r="P10" i="819"/>
  <c r="T6" i="818"/>
  <c r="P35" i="818"/>
  <c r="Q35" i="818" a="1"/>
  <c r="Q35" i="818" s="1"/>
  <c r="Q31" i="817" a="1"/>
  <c r="Q31" i="817" s="1"/>
  <c r="P31" i="817"/>
  <c r="P31" i="819"/>
  <c r="Q31" i="819" a="1"/>
  <c r="Q31" i="819" s="1"/>
  <c r="V10" i="820"/>
  <c r="T8" i="817"/>
  <c r="BH5" i="818"/>
  <c r="BH4" i="818"/>
  <c r="BH3" i="818"/>
  <c r="Q6" i="820" a="1"/>
  <c r="Q6" i="820" s="1"/>
  <c r="P6" i="820"/>
  <c r="AC3" i="817" a="1"/>
  <c r="AX3" i="817" a="1"/>
  <c r="BH4" i="820"/>
  <c r="BH3" i="820"/>
  <c r="BH5" i="820"/>
  <c r="V12" i="819"/>
  <c r="P6" i="818"/>
  <c r="U5" i="818" s="1"/>
  <c r="Q6" i="818" a="1"/>
  <c r="Q6" i="818" s="1"/>
  <c r="AD5" i="818"/>
  <c r="AD6" i="818"/>
  <c r="AD4" i="818"/>
  <c r="AD3" i="818"/>
  <c r="Q6" i="817" a="1"/>
  <c r="Q6" i="817" s="1"/>
  <c r="P6" i="817"/>
  <c r="U5" i="817" s="1"/>
  <c r="Q6" i="819" a="1"/>
  <c r="Q6" i="819" s="1"/>
  <c r="P6" i="819"/>
  <c r="AO5" i="817"/>
  <c r="AO4" i="817"/>
  <c r="AO3" i="817"/>
  <c r="AO4" i="818"/>
  <c r="AO5" i="818"/>
  <c r="AO3" i="818"/>
  <c r="T6" i="817"/>
  <c r="BG3" i="820" a="1"/>
  <c r="U7" i="820"/>
  <c r="AN3" i="820" a="1"/>
  <c r="T7" i="820"/>
  <c r="W4" i="811"/>
  <c r="AE11" i="811"/>
  <c r="AE12" i="811"/>
  <c r="U5" i="819" l="1"/>
  <c r="U9" i="817"/>
  <c r="V8" i="818"/>
  <c r="U9" i="818"/>
  <c r="BJ6" i="818" s="1"/>
  <c r="V8" i="817"/>
  <c r="V6" i="818"/>
  <c r="V7" i="820"/>
  <c r="T5" i="819"/>
  <c r="V5" i="819" s="1"/>
  <c r="T9" i="818"/>
  <c r="AD7" i="817"/>
  <c r="T6" i="820"/>
  <c r="T8" i="820"/>
  <c r="U7" i="817"/>
  <c r="V6" i="817"/>
  <c r="T9" i="817"/>
  <c r="V9" i="817" s="1"/>
  <c r="AO6" i="817"/>
  <c r="U7" i="818"/>
  <c r="BH6" i="820"/>
  <c r="AC6" i="817"/>
  <c r="AC5" i="817"/>
  <c r="AC4" i="817"/>
  <c r="AC3" i="817"/>
  <c r="BH6" i="818"/>
  <c r="U6" i="819"/>
  <c r="AX3" i="819" a="1"/>
  <c r="AC3" i="819" a="1"/>
  <c r="T6" i="819"/>
  <c r="BG5" i="817"/>
  <c r="BG4" i="817"/>
  <c r="BG3" i="817"/>
  <c r="T5" i="817"/>
  <c r="AO5" i="819"/>
  <c r="AO3" i="819"/>
  <c r="AO4" i="819"/>
  <c r="AY7" i="818"/>
  <c r="AY3" i="820"/>
  <c r="AY6" i="820"/>
  <c r="AY5" i="820"/>
  <c r="AY4" i="820"/>
  <c r="AN5" i="820"/>
  <c r="AN4" i="820"/>
  <c r="AN3" i="820"/>
  <c r="AO6" i="818"/>
  <c r="AD3" i="819"/>
  <c r="AD6" i="819"/>
  <c r="AD5" i="819"/>
  <c r="AD4" i="819"/>
  <c r="BH6" i="817"/>
  <c r="AX3" i="818"/>
  <c r="AX6" i="818"/>
  <c r="AX5" i="818"/>
  <c r="AY15" i="818" s="1"/>
  <c r="AX4" i="818"/>
  <c r="AY7" i="817"/>
  <c r="BH5" i="819"/>
  <c r="BH4" i="819"/>
  <c r="BH3" i="819"/>
  <c r="AX4" i="817"/>
  <c r="AX3" i="817"/>
  <c r="AX6" i="817"/>
  <c r="AX5" i="817"/>
  <c r="AN5" i="817"/>
  <c r="AN4" i="817"/>
  <c r="AN3" i="817"/>
  <c r="AC6" i="818"/>
  <c r="AC5" i="818"/>
  <c r="AC4" i="818"/>
  <c r="AC3" i="818"/>
  <c r="BG5" i="818"/>
  <c r="BG3" i="818"/>
  <c r="BG4" i="818"/>
  <c r="U5" i="820"/>
  <c r="V5" i="820" s="1"/>
  <c r="AC3" i="820" a="1"/>
  <c r="AX3" i="820" a="1"/>
  <c r="BG3" i="820"/>
  <c r="BG4" i="820"/>
  <c r="BG5" i="820"/>
  <c r="AD7" i="818"/>
  <c r="T5" i="818"/>
  <c r="AY6" i="819"/>
  <c r="AY4" i="819"/>
  <c r="AY3" i="819"/>
  <c r="AY5" i="819"/>
  <c r="AO6" i="820"/>
  <c r="AN9" i="818"/>
  <c r="AP9" i="818" s="1"/>
  <c r="AN4" i="818"/>
  <c r="AN3" i="818"/>
  <c r="AN5" i="818"/>
  <c r="U8" i="819"/>
  <c r="U9" i="819" s="1"/>
  <c r="AN3" i="819" a="1"/>
  <c r="BG3" i="819" a="1"/>
  <c r="AD3" i="820"/>
  <c r="AD4" i="820"/>
  <c r="AD6" i="820"/>
  <c r="AD5" i="820"/>
  <c r="W8" i="811"/>
  <c r="AE6" i="811" s="1"/>
  <c r="W9" i="811"/>
  <c r="AF6" i="811"/>
  <c r="AB4" i="811"/>
  <c r="AE8" i="811"/>
  <c r="BL10" i="817"/>
  <c r="BC12" i="818"/>
  <c r="BB7" i="818"/>
  <c r="BB7" i="817"/>
  <c r="BC15" i="817"/>
  <c r="BL9" i="818"/>
  <c r="BK6" i="820"/>
  <c r="BL11" i="817"/>
  <c r="BC10" i="818"/>
  <c r="BC14" i="818"/>
  <c r="BC12" i="817"/>
  <c r="BC14" i="817"/>
  <c r="BL10" i="818"/>
  <c r="BL11" i="820"/>
  <c r="BK6" i="817"/>
  <c r="BC15" i="818"/>
  <c r="BC13" i="818"/>
  <c r="BC11" i="817"/>
  <c r="BK6" i="818"/>
  <c r="BL9" i="820"/>
  <c r="BL9" i="817"/>
  <c r="BC11" i="818"/>
  <c r="BC13" i="817"/>
  <c r="BC10" i="817"/>
  <c r="BL11" i="818"/>
  <c r="BL10" i="820"/>
  <c r="U10" i="817" l="1"/>
  <c r="U10" i="818"/>
  <c r="V9" i="818"/>
  <c r="BI6" i="818" s="1"/>
  <c r="BL6" i="818" s="1"/>
  <c r="BH11" i="818"/>
  <c r="T9" i="819"/>
  <c r="V9" i="819" s="1"/>
  <c r="T9" i="820"/>
  <c r="AO6" i="819"/>
  <c r="BH11" i="817"/>
  <c r="BH11" i="820"/>
  <c r="AC7" i="817"/>
  <c r="AN9" i="819"/>
  <c r="AP9" i="819" s="1"/>
  <c r="BJ6" i="819"/>
  <c r="AY7" i="819"/>
  <c r="V5" i="818"/>
  <c r="T7" i="818"/>
  <c r="V7" i="818" s="1"/>
  <c r="BH10" i="820"/>
  <c r="BH9" i="820"/>
  <c r="V8" i="819"/>
  <c r="AC7" i="818"/>
  <c r="AN6" i="817"/>
  <c r="AY15" i="817"/>
  <c r="AY14" i="818"/>
  <c r="AY13" i="818"/>
  <c r="AD7" i="819"/>
  <c r="U10" i="819"/>
  <c r="AC10" i="817"/>
  <c r="AE10" i="817" s="1"/>
  <c r="BA7" i="817"/>
  <c r="BM11" i="818"/>
  <c r="BH6" i="819"/>
  <c r="AY7" i="820"/>
  <c r="V5" i="817"/>
  <c r="T7" i="817"/>
  <c r="V7" i="817" s="1"/>
  <c r="W6" i="817" s="1"/>
  <c r="X6" i="817" s="1"/>
  <c r="Y6" i="817" s="1"/>
  <c r="V6" i="819"/>
  <c r="T10" i="819"/>
  <c r="AD7" i="820"/>
  <c r="AX4" i="820"/>
  <c r="AX6" i="820"/>
  <c r="AX3" i="820"/>
  <c r="AX5" i="820"/>
  <c r="BG5" i="819"/>
  <c r="BG3" i="819"/>
  <c r="BG4" i="819"/>
  <c r="AN6" i="818"/>
  <c r="AC4" i="820"/>
  <c r="AC3" i="820"/>
  <c r="AC6" i="820"/>
  <c r="AC5" i="820"/>
  <c r="BH9" i="818"/>
  <c r="BH10" i="818"/>
  <c r="AY10" i="817"/>
  <c r="AY11" i="817"/>
  <c r="AY12" i="817"/>
  <c r="BH10" i="817"/>
  <c r="BH9" i="817"/>
  <c r="AC4" i="819"/>
  <c r="AC5" i="819"/>
  <c r="AC3" i="819"/>
  <c r="AC6" i="819"/>
  <c r="T7" i="819"/>
  <c r="U7" i="819"/>
  <c r="AN4" i="819"/>
  <c r="AN5" i="819"/>
  <c r="AN3" i="819"/>
  <c r="U6" i="820"/>
  <c r="V6" i="820" s="1"/>
  <c r="U8" i="820"/>
  <c r="V8" i="820" s="1"/>
  <c r="AY13" i="817"/>
  <c r="AY14" i="817"/>
  <c r="AY12" i="818"/>
  <c r="AY10" i="818"/>
  <c r="AY11" i="818"/>
  <c r="AN6" i="820"/>
  <c r="AX3" i="819"/>
  <c r="AX6" i="819"/>
  <c r="AX5" i="819"/>
  <c r="AX4" i="819"/>
  <c r="AC10" i="818"/>
  <c r="AE10" i="818" s="1"/>
  <c r="BA7" i="818"/>
  <c r="AN9" i="817"/>
  <c r="AP9" i="817" s="1"/>
  <c r="BJ6" i="817"/>
  <c r="AB9" i="811"/>
  <c r="AB8" i="811"/>
  <c r="AF17" i="811"/>
  <c r="AE5" i="811"/>
  <c r="AE7" i="811" s="1"/>
  <c r="AF8" i="811"/>
  <c r="AG6" i="811"/>
  <c r="AE17" i="811"/>
  <c r="AG17" i="811" s="1"/>
  <c r="BC15" i="819"/>
  <c r="BC10" i="819"/>
  <c r="BL9" i="819"/>
  <c r="BC11" i="820"/>
  <c r="BC15" i="820"/>
  <c r="BC14" i="819"/>
  <c r="BC13" i="819"/>
  <c r="BL10" i="819"/>
  <c r="BC13" i="820"/>
  <c r="BC12" i="820"/>
  <c r="BC11" i="819"/>
  <c r="BC12" i="819"/>
  <c r="BK6" i="819"/>
  <c r="BB7" i="820"/>
  <c r="BB7" i="819"/>
  <c r="BL11" i="819"/>
  <c r="BC14" i="820"/>
  <c r="BC10" i="820"/>
  <c r="BI11" i="818" l="1"/>
  <c r="BJ11" i="818"/>
  <c r="BK11" i="818"/>
  <c r="AL9" i="818"/>
  <c r="AM9" i="818" s="1"/>
  <c r="W8" i="818"/>
  <c r="X8" i="818" s="1"/>
  <c r="Y8" i="818" s="1"/>
  <c r="V10" i="819"/>
  <c r="U9" i="820"/>
  <c r="V9" i="820" s="1"/>
  <c r="W7" i="820" s="1"/>
  <c r="X7" i="820" s="1"/>
  <c r="Y7" i="820" s="1"/>
  <c r="V7" i="819"/>
  <c r="AA10" i="819" s="1"/>
  <c r="AY15" i="820"/>
  <c r="BD15" i="820" s="1"/>
  <c r="BI9" i="818"/>
  <c r="BJ9" i="818"/>
  <c r="BM9" i="818"/>
  <c r="BK9" i="818"/>
  <c r="AY14" i="820"/>
  <c r="AY13" i="820"/>
  <c r="AL9" i="819"/>
  <c r="BI6" i="819"/>
  <c r="BD14" i="818"/>
  <c r="W8" i="819"/>
  <c r="X8" i="819" s="1"/>
  <c r="Y8" i="819" s="1"/>
  <c r="AZ7" i="818"/>
  <c r="AZ12" i="818" s="1"/>
  <c r="AA10" i="818"/>
  <c r="AF10" i="818" s="1"/>
  <c r="W6" i="818"/>
  <c r="X6" i="818" s="1"/>
  <c r="Y6" i="818" s="1"/>
  <c r="W6" i="820"/>
  <c r="X6" i="820" s="1"/>
  <c r="Y6" i="820" s="1"/>
  <c r="AA10" i="820"/>
  <c r="AZ7" i="820"/>
  <c r="AY11" i="819"/>
  <c r="AY10" i="819"/>
  <c r="AY12" i="819"/>
  <c r="BD11" i="817"/>
  <c r="W5" i="817"/>
  <c r="X5" i="817" s="1"/>
  <c r="Y5" i="817" s="1"/>
  <c r="BD15" i="817"/>
  <c r="BM9" i="820"/>
  <c r="W5" i="818"/>
  <c r="X5" i="818" s="1"/>
  <c r="Y5" i="818" s="1"/>
  <c r="AY13" i="819"/>
  <c r="AY14" i="819"/>
  <c r="AT9" i="820"/>
  <c r="BD14" i="817"/>
  <c r="BA7" i="820"/>
  <c r="AC10" i="820"/>
  <c r="AE10" i="820" s="1"/>
  <c r="AC10" i="819"/>
  <c r="AE10" i="819" s="1"/>
  <c r="BA7" i="819"/>
  <c r="BD10" i="817"/>
  <c r="BH11" i="819"/>
  <c r="AY12" i="820"/>
  <c r="AY10" i="820"/>
  <c r="AY11" i="820"/>
  <c r="U11" i="819"/>
  <c r="BM10" i="820"/>
  <c r="W5" i="820"/>
  <c r="X5" i="820" s="1"/>
  <c r="Y5" i="820" s="1"/>
  <c r="BD10" i="818"/>
  <c r="AN9" i="820"/>
  <c r="AP9" i="820" s="1"/>
  <c r="BJ6" i="820"/>
  <c r="BD12" i="817"/>
  <c r="AA10" i="817"/>
  <c r="AZ7" i="817"/>
  <c r="BD12" i="818"/>
  <c r="AT9" i="818"/>
  <c r="AY15" i="819"/>
  <c r="BD11" i="818"/>
  <c r="BD13" i="817"/>
  <c r="AN6" i="819"/>
  <c r="AC7" i="819"/>
  <c r="BJ10" i="818"/>
  <c r="BM10" i="818"/>
  <c r="BK10" i="818"/>
  <c r="BI10" i="818"/>
  <c r="AC7" i="820"/>
  <c r="BH10" i="819"/>
  <c r="BH9" i="819"/>
  <c r="BD15" i="818"/>
  <c r="AI10" i="817"/>
  <c r="T10" i="817"/>
  <c r="V10" i="817" s="1"/>
  <c r="BM9" i="817" s="1"/>
  <c r="BD13" i="818"/>
  <c r="AI10" i="818"/>
  <c r="T10" i="818"/>
  <c r="V10" i="818" s="1"/>
  <c r="W9" i="818" s="1"/>
  <c r="X9" i="818" s="1"/>
  <c r="Y9" i="818" s="1"/>
  <c r="T11" i="819"/>
  <c r="AE18" i="811"/>
  <c r="AJ17" i="811"/>
  <c r="AF7" i="811"/>
  <c r="AG7" i="811" s="1"/>
  <c r="AH6" i="811" s="1"/>
  <c r="AI6" i="811" s="1"/>
  <c r="AF19" i="811"/>
  <c r="AF18" i="811" s="1"/>
  <c r="AJ16" i="811" s="1"/>
  <c r="AE16" i="811"/>
  <c r="AG5" i="811"/>
  <c r="W6" i="819" l="1"/>
  <c r="X6" i="819" s="1"/>
  <c r="Y6" i="819" s="1"/>
  <c r="AQ9" i="818"/>
  <c r="AR9" i="818"/>
  <c r="AZ7" i="819"/>
  <c r="AZ13" i="819" s="1"/>
  <c r="W8" i="820"/>
  <c r="X8" i="820" s="1"/>
  <c r="Y8" i="820" s="1"/>
  <c r="BM11" i="820"/>
  <c r="AZ15" i="820"/>
  <c r="AL9" i="820"/>
  <c r="AM9" i="820" s="1"/>
  <c r="AU9" i="820" s="1"/>
  <c r="AG10" i="818"/>
  <c r="BI6" i="820"/>
  <c r="BI11" i="820" s="1"/>
  <c r="AZ11" i="817"/>
  <c r="BI9" i="819"/>
  <c r="BM9" i="819"/>
  <c r="AR9" i="819"/>
  <c r="AT9" i="819"/>
  <c r="AQ9" i="819"/>
  <c r="AM9" i="819"/>
  <c r="AG10" i="817"/>
  <c r="AB10" i="817"/>
  <c r="AF10" i="817"/>
  <c r="BD12" i="820"/>
  <c r="AZ12" i="820"/>
  <c r="BI6" i="817"/>
  <c r="AL9" i="817"/>
  <c r="W8" i="817"/>
  <c r="X8" i="817" s="1"/>
  <c r="Y8" i="817" s="1"/>
  <c r="W9" i="817"/>
  <c r="X9" i="817" s="1"/>
  <c r="Y9" i="817" s="1"/>
  <c r="BM11" i="817"/>
  <c r="AZ15" i="819"/>
  <c r="BD15" i="819"/>
  <c r="AT9" i="817"/>
  <c r="BI11" i="819"/>
  <c r="BM11" i="819"/>
  <c r="BD12" i="819"/>
  <c r="AG10" i="820"/>
  <c r="AI10" i="820"/>
  <c r="AF10" i="820"/>
  <c r="AB10" i="820"/>
  <c r="BM10" i="817"/>
  <c r="AO9" i="818"/>
  <c r="AS9" i="818" s="1"/>
  <c r="AU9" i="818"/>
  <c r="BD11" i="820"/>
  <c r="AZ11" i="820"/>
  <c r="BD14" i="819"/>
  <c r="BD10" i="819"/>
  <c r="BD14" i="820"/>
  <c r="AZ14" i="820"/>
  <c r="AB10" i="818"/>
  <c r="BM10" i="819"/>
  <c r="BI10" i="819"/>
  <c r="AZ15" i="818"/>
  <c r="AZ14" i="818"/>
  <c r="AZ13" i="820"/>
  <c r="BD13" i="820"/>
  <c r="V11" i="819"/>
  <c r="W10" i="819" s="1"/>
  <c r="X10" i="819" s="1"/>
  <c r="Y10" i="819" s="1"/>
  <c r="AZ13" i="818"/>
  <c r="AF10" i="819"/>
  <c r="AB10" i="819"/>
  <c r="AI10" i="819"/>
  <c r="AG10" i="819"/>
  <c r="AZ13" i="817"/>
  <c r="AZ11" i="818"/>
  <c r="W7" i="817"/>
  <c r="X7" i="817" s="1"/>
  <c r="Y7" i="817" s="1"/>
  <c r="AZ12" i="817"/>
  <c r="AZ10" i="818"/>
  <c r="AZ10" i="820"/>
  <c r="BD10" i="820"/>
  <c r="AZ10" i="817"/>
  <c r="AZ14" i="817"/>
  <c r="BD13" i="819"/>
  <c r="AZ15" i="817"/>
  <c r="BD11" i="819"/>
  <c r="AE19" i="811"/>
  <c r="AG16" i="811"/>
  <c r="AH5" i="811"/>
  <c r="AI5" i="811" s="1"/>
  <c r="AJ5" i="811"/>
  <c r="AJ6" i="811"/>
  <c r="AG18" i="811"/>
  <c r="AH17" i="811" s="1"/>
  <c r="AI17" i="811" s="1"/>
  <c r="P28" i="756"/>
  <c r="BC7" i="820" l="1"/>
  <c r="BA11" i="820" s="1"/>
  <c r="BC7" i="817"/>
  <c r="BC7" i="818"/>
  <c r="BB15" i="818" s="1"/>
  <c r="BL6" i="819"/>
  <c r="AZ14" i="819"/>
  <c r="BL6" i="820"/>
  <c r="BC7" i="819"/>
  <c r="BA15" i="819" s="1"/>
  <c r="AZ10" i="819"/>
  <c r="AZ12" i="819"/>
  <c r="AO9" i="820"/>
  <c r="AS9" i="820" s="1"/>
  <c r="AZ11" i="819"/>
  <c r="AQ9" i="820"/>
  <c r="AR9" i="820"/>
  <c r="BI9" i="820"/>
  <c r="BI10" i="820"/>
  <c r="BB15" i="820"/>
  <c r="BA15" i="820"/>
  <c r="AJ10" i="818"/>
  <c r="AD10" i="818"/>
  <c r="AH10" i="818" s="1"/>
  <c r="BB10" i="820"/>
  <c r="AJ10" i="819"/>
  <c r="AD10" i="819"/>
  <c r="AH10" i="819" s="1"/>
  <c r="BA13" i="820"/>
  <c r="BB14" i="820"/>
  <c r="AD10" i="820"/>
  <c r="AH10" i="820" s="1"/>
  <c r="AJ10" i="820"/>
  <c r="AR9" i="817"/>
  <c r="AM9" i="817"/>
  <c r="AQ9" i="817"/>
  <c r="BA12" i="820"/>
  <c r="AJ10" i="817"/>
  <c r="AD10" i="817"/>
  <c r="AH10" i="817" s="1"/>
  <c r="BB12" i="818"/>
  <c r="BB12" i="820"/>
  <c r="AU9" i="819"/>
  <c r="AO9" i="819"/>
  <c r="AS9" i="819" s="1"/>
  <c r="BA10" i="820"/>
  <c r="BB13" i="820"/>
  <c r="BA14" i="820"/>
  <c r="BB11" i="820"/>
  <c r="BJ11" i="820"/>
  <c r="BK11" i="820"/>
  <c r="BK10" i="820"/>
  <c r="BJ9" i="820"/>
  <c r="BK9" i="820"/>
  <c r="BJ10" i="820"/>
  <c r="BL6" i="817"/>
  <c r="BI11" i="817"/>
  <c r="BI9" i="817"/>
  <c r="BI10" i="817"/>
  <c r="AH16" i="811"/>
  <c r="AI16" i="811" s="1"/>
  <c r="Y241" i="795" a="1"/>
  <c r="Y242" i="795" s="1"/>
  <c r="O240" i="795"/>
  <c r="N240" i="795"/>
  <c r="M240" i="795"/>
  <c r="L240" i="795"/>
  <c r="O239" i="795"/>
  <c r="N239" i="795"/>
  <c r="M239" i="795"/>
  <c r="L239" i="795"/>
  <c r="O238" i="795"/>
  <c r="N238" i="795"/>
  <c r="M238" i="795"/>
  <c r="L238" i="795"/>
  <c r="AA237" i="795"/>
  <c r="O237" i="795"/>
  <c r="N237" i="795"/>
  <c r="M237" i="795"/>
  <c r="L237" i="795"/>
  <c r="O236" i="795"/>
  <c r="N236" i="795"/>
  <c r="M236" i="795"/>
  <c r="L236" i="795"/>
  <c r="Z235" i="795"/>
  <c r="O235" i="795"/>
  <c r="N235" i="795"/>
  <c r="M235" i="795"/>
  <c r="L235" i="795"/>
  <c r="O234" i="795"/>
  <c r="N234" i="795"/>
  <c r="M234" i="795"/>
  <c r="L234" i="795"/>
  <c r="O233" i="795"/>
  <c r="N233" i="795"/>
  <c r="M233" i="795"/>
  <c r="L233" i="795"/>
  <c r="O232" i="795"/>
  <c r="N232" i="795"/>
  <c r="M232" i="795"/>
  <c r="L232" i="795"/>
  <c r="Z231" i="795"/>
  <c r="O231" i="795"/>
  <c r="N231" i="795"/>
  <c r="M231" i="795"/>
  <c r="L231" i="795"/>
  <c r="O230" i="795"/>
  <c r="N230" i="795"/>
  <c r="M230" i="795"/>
  <c r="L230" i="795"/>
  <c r="O229" i="795"/>
  <c r="N229" i="795"/>
  <c r="M229" i="795"/>
  <c r="L229" i="795"/>
  <c r="O228" i="795"/>
  <c r="N228" i="795"/>
  <c r="M228" i="795"/>
  <c r="L228" i="795"/>
  <c r="O227" i="795"/>
  <c r="N227" i="795"/>
  <c r="M227" i="795"/>
  <c r="L227" i="795"/>
  <c r="O226" i="795"/>
  <c r="N226" i="795"/>
  <c r="M226" i="795"/>
  <c r="L226" i="795"/>
  <c r="O225" i="795"/>
  <c r="N225" i="795"/>
  <c r="M225" i="795"/>
  <c r="L225" i="795"/>
  <c r="O224" i="795"/>
  <c r="N224" i="795"/>
  <c r="M224" i="795"/>
  <c r="L224" i="795"/>
  <c r="O223" i="795"/>
  <c r="N223" i="795"/>
  <c r="M223" i="795"/>
  <c r="L223" i="795"/>
  <c r="O222" i="795"/>
  <c r="N222" i="795"/>
  <c r="M222" i="795"/>
  <c r="L222" i="795"/>
  <c r="O221" i="795"/>
  <c r="N221" i="795"/>
  <c r="M221" i="795"/>
  <c r="L221" i="795"/>
  <c r="O220" i="795"/>
  <c r="N220" i="795"/>
  <c r="M220" i="795"/>
  <c r="L220" i="795"/>
  <c r="O219" i="795"/>
  <c r="N219" i="795"/>
  <c r="M219" i="795"/>
  <c r="L219" i="795"/>
  <c r="O218" i="795"/>
  <c r="N218" i="795"/>
  <c r="M218" i="795"/>
  <c r="L218" i="795"/>
  <c r="O217" i="795"/>
  <c r="N217" i="795"/>
  <c r="M217" i="795"/>
  <c r="L217" i="795"/>
  <c r="O216" i="795"/>
  <c r="N216" i="795"/>
  <c r="M216" i="795"/>
  <c r="L216" i="795"/>
  <c r="O215" i="795"/>
  <c r="N215" i="795"/>
  <c r="M215" i="795"/>
  <c r="L215" i="795"/>
  <c r="Y214" i="795" a="1"/>
  <c r="Y214" i="795" s="1"/>
  <c r="O214" i="795"/>
  <c r="N214" i="795"/>
  <c r="M214" i="795"/>
  <c r="L214" i="795"/>
  <c r="O213" i="795"/>
  <c r="N213" i="795"/>
  <c r="M213" i="795"/>
  <c r="L213" i="795"/>
  <c r="O212" i="795"/>
  <c r="N212" i="795"/>
  <c r="M212" i="795"/>
  <c r="L212" i="795"/>
  <c r="O211" i="795"/>
  <c r="N211" i="795"/>
  <c r="M211" i="795"/>
  <c r="L211" i="795"/>
  <c r="AA210" i="795"/>
  <c r="O210" i="795"/>
  <c r="N210" i="795"/>
  <c r="M210" i="795"/>
  <c r="L210" i="795"/>
  <c r="O209" i="795"/>
  <c r="N209" i="795"/>
  <c r="M209" i="795"/>
  <c r="L209" i="795"/>
  <c r="O208" i="795"/>
  <c r="N208" i="795"/>
  <c r="M208" i="795"/>
  <c r="L208" i="795"/>
  <c r="O207" i="795"/>
  <c r="N207" i="795"/>
  <c r="M207" i="795"/>
  <c r="L207" i="795"/>
  <c r="O206" i="795"/>
  <c r="N206" i="795"/>
  <c r="M206" i="795"/>
  <c r="L206" i="795"/>
  <c r="O205" i="795"/>
  <c r="N205" i="795"/>
  <c r="M205" i="795"/>
  <c r="L205" i="795"/>
  <c r="Z204" i="795"/>
  <c r="O204" i="795"/>
  <c r="N204" i="795"/>
  <c r="M204" i="795"/>
  <c r="L204" i="795"/>
  <c r="O203" i="795"/>
  <c r="N203" i="795"/>
  <c r="M203" i="795"/>
  <c r="L203" i="795"/>
  <c r="O202" i="795"/>
  <c r="N202" i="795"/>
  <c r="M202" i="795"/>
  <c r="L202" i="795"/>
  <c r="O201" i="795"/>
  <c r="N201" i="795"/>
  <c r="M201" i="795"/>
  <c r="L201" i="795"/>
  <c r="O200" i="795"/>
  <c r="N200" i="795"/>
  <c r="M200" i="795"/>
  <c r="L200" i="795"/>
  <c r="O199" i="795"/>
  <c r="N199" i="795"/>
  <c r="M199" i="795"/>
  <c r="L199" i="795"/>
  <c r="Y167" i="795" a="1"/>
  <c r="Y178" i="795" s="1"/>
  <c r="AA163" i="795"/>
  <c r="Z161" i="795"/>
  <c r="Z157" i="795"/>
  <c r="Z163" i="795" s="1"/>
  <c r="Z162" i="795" s="1"/>
  <c r="Y138" i="795"/>
  <c r="Y132" i="795" a="1"/>
  <c r="AA128" i="795"/>
  <c r="Z126" i="795"/>
  <c r="Z122" i="795"/>
  <c r="Y111" i="795" a="1"/>
  <c r="Y112" i="795" s="1"/>
  <c r="AA107" i="795"/>
  <c r="Z105" i="795"/>
  <c r="AJ6" i="795" s="1"/>
  <c r="Z101" i="795"/>
  <c r="Y88" i="795" a="1"/>
  <c r="AA84" i="795"/>
  <c r="Z82" i="795"/>
  <c r="Z78" i="795"/>
  <c r="Z84" i="795" s="1"/>
  <c r="Y55" i="795" a="1"/>
  <c r="AA51" i="795"/>
  <c r="Z51" i="795"/>
  <c r="Z49" i="795"/>
  <c r="Z45" i="795"/>
  <c r="Y18" i="795" a="1"/>
  <c r="Y31" i="795" s="1"/>
  <c r="AA14" i="795"/>
  <c r="AI12" i="795" s="1"/>
  <c r="Z12" i="795"/>
  <c r="AJ9" i="795"/>
  <c r="Z8" i="795"/>
  <c r="N24" i="793"/>
  <c r="S14" i="793" s="1"/>
  <c r="BB14" i="818" l="1"/>
  <c r="BA15" i="818"/>
  <c r="BJ11" i="819"/>
  <c r="BJ9" i="819"/>
  <c r="BJ10" i="819"/>
  <c r="BK9" i="819"/>
  <c r="BK11" i="819"/>
  <c r="BB13" i="818"/>
  <c r="BB10" i="818"/>
  <c r="BA11" i="818"/>
  <c r="BB11" i="818"/>
  <c r="BA13" i="818"/>
  <c r="BA14" i="818"/>
  <c r="BA12" i="818"/>
  <c r="BA10" i="818"/>
  <c r="BK10" i="819"/>
  <c r="BB11" i="817"/>
  <c r="BA14" i="817"/>
  <c r="BA10" i="817"/>
  <c r="BB14" i="817"/>
  <c r="BA12" i="817"/>
  <c r="BB15" i="817"/>
  <c r="BA11" i="817"/>
  <c r="BA13" i="817"/>
  <c r="BB13" i="817"/>
  <c r="BA15" i="817"/>
  <c r="BB10" i="817"/>
  <c r="BB12" i="817"/>
  <c r="BA10" i="819"/>
  <c r="BB14" i="819"/>
  <c r="BB15" i="819"/>
  <c r="BB11" i="819"/>
  <c r="BB10" i="819"/>
  <c r="BA11" i="819"/>
  <c r="BB13" i="819"/>
  <c r="BA12" i="819"/>
  <c r="BA14" i="819"/>
  <c r="BB12" i="819"/>
  <c r="BA13" i="819"/>
  <c r="BK11" i="817"/>
  <c r="BJ11" i="817"/>
  <c r="BK9" i="817"/>
  <c r="BK10" i="817"/>
  <c r="BJ10" i="817"/>
  <c r="BJ9" i="817"/>
  <c r="AU9" i="817"/>
  <c r="AO9" i="817"/>
  <c r="AS9" i="817" s="1"/>
  <c r="Y171" i="795"/>
  <c r="Y28" i="795"/>
  <c r="Y179" i="795"/>
  <c r="Y180" i="795"/>
  <c r="Y241" i="795"/>
  <c r="Y20" i="795"/>
  <c r="Y167" i="795"/>
  <c r="Y175" i="795"/>
  <c r="Z208" i="795"/>
  <c r="AJ10" i="795" s="1"/>
  <c r="Y32" i="795"/>
  <c r="Z83" i="795"/>
  <c r="Y172" i="795"/>
  <c r="Y24" i="795"/>
  <c r="Y168" i="795"/>
  <c r="Y176" i="795"/>
  <c r="Y65" i="795"/>
  <c r="Y61" i="795"/>
  <c r="Y57" i="795"/>
  <c r="Y67" i="795"/>
  <c r="Y63" i="795"/>
  <c r="Y59" i="795"/>
  <c r="Y55" i="795"/>
  <c r="Y64" i="795"/>
  <c r="Y60" i="795"/>
  <c r="Y56" i="795"/>
  <c r="Z14" i="795"/>
  <c r="Z50" i="795"/>
  <c r="AJ8" i="795" s="1"/>
  <c r="AJ11" i="795" s="1"/>
  <c r="AN9" i="795" s="1"/>
  <c r="Y62" i="795"/>
  <c r="Y58" i="795"/>
  <c r="Y66" i="795"/>
  <c r="Y25" i="795"/>
  <c r="Y89" i="795"/>
  <c r="Y88" i="795"/>
  <c r="Z107" i="795"/>
  <c r="Z106" i="795" s="1"/>
  <c r="Y145" i="795"/>
  <c r="Y146" i="795"/>
  <c r="Y141" i="795"/>
  <c r="Y137" i="795"/>
  <c r="Y133" i="795"/>
  <c r="Y144" i="795"/>
  <c r="Y140" i="795"/>
  <c r="Y136" i="795"/>
  <c r="Y132" i="795"/>
  <c r="Y139" i="795"/>
  <c r="Y18" i="795"/>
  <c r="Y22" i="795"/>
  <c r="Y26" i="795"/>
  <c r="Y30" i="795"/>
  <c r="Y34" i="795"/>
  <c r="Y90" i="795"/>
  <c r="Y111" i="795"/>
  <c r="Y134" i="795"/>
  <c r="Y142" i="795"/>
  <c r="Y21" i="795"/>
  <c r="Y29" i="795"/>
  <c r="Y33" i="795"/>
  <c r="Y220" i="795"/>
  <c r="Y216" i="795"/>
  <c r="Y219" i="795"/>
  <c r="Y215" i="795"/>
  <c r="Y218" i="795"/>
  <c r="Y217" i="795"/>
  <c r="Y19" i="795"/>
  <c r="Y23" i="795"/>
  <c r="Y27" i="795"/>
  <c r="Y91" i="795"/>
  <c r="Z128" i="795"/>
  <c r="Z127" i="795" s="1"/>
  <c r="Y135" i="795"/>
  <c r="Y143" i="795"/>
  <c r="Y221" i="795"/>
  <c r="Z237" i="795"/>
  <c r="Z236" i="795" s="1"/>
  <c r="Z210" i="795"/>
  <c r="Z209" i="795" s="1"/>
  <c r="Y169" i="795"/>
  <c r="Y173" i="795"/>
  <c r="Y177" i="795"/>
  <c r="Y181" i="795"/>
  <c r="Y170" i="795"/>
  <c r="Y174" i="795"/>
  <c r="M24" i="793" a="1"/>
  <c r="M24" i="793" s="1"/>
  <c r="L24" i="793" a="1"/>
  <c r="L24" i="793" s="1"/>
  <c r="K24" i="793" a="1"/>
  <c r="K24" i="793" s="1"/>
  <c r="I29" i="479"/>
  <c r="AB171" i="795" l="1"/>
  <c r="AC171" i="795" s="1"/>
  <c r="AE171" i="795"/>
  <c r="AD171" i="795"/>
  <c r="AD169" i="795"/>
  <c r="AB169" i="795"/>
  <c r="AC169" i="795" s="1"/>
  <c r="AE169" i="795"/>
  <c r="AB174" i="795"/>
  <c r="AC174" i="795" s="1"/>
  <c r="AE174" i="795"/>
  <c r="AD174" i="795"/>
  <c r="AE64" i="795"/>
  <c r="AB64" i="795"/>
  <c r="AC64" i="795" s="1"/>
  <c r="AD64" i="795"/>
  <c r="AE61" i="795"/>
  <c r="AD61" i="795"/>
  <c r="AB61" i="795"/>
  <c r="AC61" i="795" s="1"/>
  <c r="AE133" i="795"/>
  <c r="AD133" i="795"/>
  <c r="AB133" i="795"/>
  <c r="AC133" i="795" s="1"/>
  <c r="AD132" i="795"/>
  <c r="AE132" i="795"/>
  <c r="AB132" i="795"/>
  <c r="AC132" i="795" s="1"/>
  <c r="AD214" i="795"/>
  <c r="AE214" i="795"/>
  <c r="AB214" i="795"/>
  <c r="AC214" i="795" s="1"/>
  <c r="AE213" i="795"/>
  <c r="AD213" i="795"/>
  <c r="AB213" i="795"/>
  <c r="AC213" i="795" s="1"/>
  <c r="AB31" i="795"/>
  <c r="AB20" i="795"/>
  <c r="AB179" i="795"/>
  <c r="AC179" i="795" s="1"/>
  <c r="AE179" i="795"/>
  <c r="AD179" i="795"/>
  <c r="AD173" i="795"/>
  <c r="AE173" i="795"/>
  <c r="AB173" i="795"/>
  <c r="AC173" i="795" s="1"/>
  <c r="AE168" i="795"/>
  <c r="AD168" i="795"/>
  <c r="AB168" i="795"/>
  <c r="AC168" i="795" s="1"/>
  <c r="AE90" i="795"/>
  <c r="AD90" i="795"/>
  <c r="AB90" i="795"/>
  <c r="AC90" i="795" s="1"/>
  <c r="AD58" i="795"/>
  <c r="AB58" i="795"/>
  <c r="AC58" i="795" s="1"/>
  <c r="AE58" i="795"/>
  <c r="AE63" i="795"/>
  <c r="AB63" i="795"/>
  <c r="AC63" i="795" s="1"/>
  <c r="AD63" i="795"/>
  <c r="AD137" i="795"/>
  <c r="AE137" i="795"/>
  <c r="AB137" i="795"/>
  <c r="AC137" i="795" s="1"/>
  <c r="AB134" i="795"/>
  <c r="AC134" i="795" s="1"/>
  <c r="AE134" i="795"/>
  <c r="AD134" i="795"/>
  <c r="AB216" i="795"/>
  <c r="AC216" i="795" s="1"/>
  <c r="AE216" i="795"/>
  <c r="AD216" i="795"/>
  <c r="AD218" i="795"/>
  <c r="AB218" i="795"/>
  <c r="AC218" i="795" s="1"/>
  <c r="AE218" i="795"/>
  <c r="AB17" i="795"/>
  <c r="AB33" i="795"/>
  <c r="AB30" i="795"/>
  <c r="Z13" i="795"/>
  <c r="AE31" i="795" s="1"/>
  <c r="AJ12" i="795"/>
  <c r="AN10" i="795"/>
  <c r="AD177" i="795"/>
  <c r="AB177" i="795"/>
  <c r="AC177" i="795" s="1"/>
  <c r="AE177" i="795"/>
  <c r="AB170" i="795"/>
  <c r="AC170" i="795" s="1"/>
  <c r="AE170" i="795"/>
  <c r="AD170" i="795"/>
  <c r="AB178" i="795"/>
  <c r="AC178" i="795" s="1"/>
  <c r="AE178" i="795"/>
  <c r="AD178" i="795"/>
  <c r="AB242" i="795"/>
  <c r="AC242" i="795" s="1"/>
  <c r="AE242" i="795"/>
  <c r="AD242" i="795"/>
  <c r="AB88" i="795"/>
  <c r="AC88" i="795" s="1"/>
  <c r="AE88" i="795"/>
  <c r="AD88" i="795"/>
  <c r="AB89" i="795"/>
  <c r="AC89" i="795" s="1"/>
  <c r="AE89" i="795"/>
  <c r="AD89" i="795"/>
  <c r="AD66" i="795"/>
  <c r="AB66" i="795"/>
  <c r="AC66" i="795" s="1"/>
  <c r="AE66" i="795"/>
  <c r="AB60" i="795"/>
  <c r="AC60" i="795" s="1"/>
  <c r="AE60" i="795"/>
  <c r="AD60" i="795"/>
  <c r="AE57" i="795"/>
  <c r="AD57" i="795"/>
  <c r="AB57" i="795"/>
  <c r="AC57" i="795" s="1"/>
  <c r="AE65" i="795"/>
  <c r="AD65" i="795"/>
  <c r="AB65" i="795"/>
  <c r="AC65" i="795" s="1"/>
  <c r="AD141" i="795"/>
  <c r="AE141" i="795"/>
  <c r="AB141" i="795"/>
  <c r="AC141" i="795" s="1"/>
  <c r="AB139" i="795"/>
  <c r="AC139" i="795" s="1"/>
  <c r="AE139" i="795"/>
  <c r="AD139" i="795"/>
  <c r="AE136" i="795"/>
  <c r="AD136" i="795"/>
  <c r="AB136" i="795"/>
  <c r="AC136" i="795" s="1"/>
  <c r="AE144" i="795"/>
  <c r="AD144" i="795"/>
  <c r="AB144" i="795"/>
  <c r="AC144" i="795" s="1"/>
  <c r="AE217" i="795"/>
  <c r="AD217" i="795"/>
  <c r="AB217" i="795"/>
  <c r="AC217" i="795" s="1"/>
  <c r="AB111" i="795"/>
  <c r="AC111" i="795" s="1"/>
  <c r="AE111" i="795"/>
  <c r="AD111" i="795"/>
  <c r="AD27" i="795"/>
  <c r="AB27" i="795"/>
  <c r="AB24" i="795"/>
  <c r="AE24" i="795"/>
  <c r="AB32" i="795"/>
  <c r="AB167" i="795"/>
  <c r="AC167" i="795" s="1"/>
  <c r="AE167" i="795"/>
  <c r="AD167" i="795"/>
  <c r="AB166" i="795"/>
  <c r="AC166" i="795" s="1"/>
  <c r="AE166" i="795"/>
  <c r="AD166" i="795"/>
  <c r="AB240" i="795"/>
  <c r="AC240" i="795" s="1"/>
  <c r="AE240" i="795"/>
  <c r="AD240" i="795"/>
  <c r="AD62" i="795"/>
  <c r="AB62" i="795"/>
  <c r="AC62" i="795" s="1"/>
  <c r="AE62" i="795"/>
  <c r="AD131" i="795"/>
  <c r="AB131" i="795"/>
  <c r="AC131" i="795" s="1"/>
  <c r="AE131" i="795"/>
  <c r="AE140" i="795"/>
  <c r="AD140" i="795"/>
  <c r="AB140" i="795"/>
  <c r="AC140" i="795" s="1"/>
  <c r="AE221" i="795"/>
  <c r="AD221" i="795"/>
  <c r="AB221" i="795"/>
  <c r="AC221" i="795" s="1"/>
  <c r="AE110" i="795"/>
  <c r="AD110" i="795"/>
  <c r="AB110" i="795"/>
  <c r="AC110" i="795" s="1"/>
  <c r="AE19" i="795"/>
  <c r="AB19" i="795"/>
  <c r="AD23" i="795"/>
  <c r="AB23" i="795"/>
  <c r="AB28" i="795"/>
  <c r="AE28" i="795"/>
  <c r="AB175" i="795"/>
  <c r="AC175" i="795" s="1"/>
  <c r="AE175" i="795"/>
  <c r="AD175" i="795"/>
  <c r="AE176" i="795"/>
  <c r="AD176" i="795"/>
  <c r="AB176" i="795"/>
  <c r="AC176" i="795" s="1"/>
  <c r="AB241" i="795"/>
  <c r="AC241" i="795" s="1"/>
  <c r="AE241" i="795"/>
  <c r="AD241" i="795"/>
  <c r="AD87" i="795"/>
  <c r="AB87" i="795"/>
  <c r="AC87" i="795" s="1"/>
  <c r="AE87" i="795"/>
  <c r="AB56" i="795"/>
  <c r="AC56" i="795" s="1"/>
  <c r="AD56" i="795"/>
  <c r="AE56" i="795"/>
  <c r="AB55" i="795"/>
  <c r="AC55" i="795" s="1"/>
  <c r="AE55" i="795"/>
  <c r="AD55" i="795"/>
  <c r="AE135" i="795"/>
  <c r="AB135" i="795"/>
  <c r="AC135" i="795" s="1"/>
  <c r="AD135" i="795"/>
  <c r="AB142" i="795"/>
  <c r="AC142" i="795" s="1"/>
  <c r="AD142" i="795"/>
  <c r="AE142" i="795"/>
  <c r="AB215" i="795"/>
  <c r="AC215" i="795" s="1"/>
  <c r="AE215" i="795"/>
  <c r="AD215" i="795"/>
  <c r="AE112" i="795"/>
  <c r="AD112" i="795"/>
  <c r="AB112" i="795"/>
  <c r="AC112" i="795" s="1"/>
  <c r="AB25" i="795"/>
  <c r="AE25" i="795"/>
  <c r="AB22" i="795"/>
  <c r="AD22" i="795"/>
  <c r="AD181" i="795"/>
  <c r="AE181" i="795"/>
  <c r="AB181" i="795"/>
  <c r="AC181" i="795" s="1"/>
  <c r="AE172" i="795"/>
  <c r="AD172" i="795"/>
  <c r="AB172" i="795"/>
  <c r="AC172" i="795" s="1"/>
  <c r="AE180" i="795"/>
  <c r="AD180" i="795"/>
  <c r="AB180" i="795"/>
  <c r="AC180" i="795" s="1"/>
  <c r="AD91" i="795"/>
  <c r="AB91" i="795"/>
  <c r="AC91" i="795" s="1"/>
  <c r="AE91" i="795"/>
  <c r="AE54" i="795"/>
  <c r="AD54" i="795"/>
  <c r="AB54" i="795"/>
  <c r="AC54" i="795" s="1"/>
  <c r="AE59" i="795"/>
  <c r="AB59" i="795"/>
  <c r="AC59" i="795" s="1"/>
  <c r="AD59" i="795"/>
  <c r="AB67" i="795"/>
  <c r="AC67" i="795" s="1"/>
  <c r="AE67" i="795"/>
  <c r="AD67" i="795"/>
  <c r="AD145" i="795"/>
  <c r="AE145" i="795"/>
  <c r="AB145" i="795"/>
  <c r="AC145" i="795" s="1"/>
  <c r="AB143" i="795"/>
  <c r="AC143" i="795" s="1"/>
  <c r="AE143" i="795"/>
  <c r="AD143" i="795"/>
  <c r="AB138" i="795"/>
  <c r="AC138" i="795" s="1"/>
  <c r="AE138" i="795"/>
  <c r="AD138" i="795"/>
  <c r="AB146" i="795"/>
  <c r="AC146" i="795" s="1"/>
  <c r="AE146" i="795"/>
  <c r="AD146" i="795"/>
  <c r="AB220" i="795"/>
  <c r="AC220" i="795" s="1"/>
  <c r="AE220" i="795"/>
  <c r="AD220" i="795"/>
  <c r="AB219" i="795"/>
  <c r="AC219" i="795" s="1"/>
  <c r="AE219" i="795"/>
  <c r="AD219" i="795"/>
  <c r="AE21" i="795"/>
  <c r="AB21" i="795"/>
  <c r="AB29" i="795"/>
  <c r="AC29" i="795" s="1"/>
  <c r="AB18" i="795"/>
  <c r="AD18" i="795"/>
  <c r="AB26" i="795"/>
  <c r="AB34" i="795"/>
  <c r="AC34" i="795" s="1"/>
  <c r="Q13" i="793"/>
  <c r="Q20" i="793"/>
  <c r="Q26" i="793"/>
  <c r="Q25" i="793"/>
  <c r="Q19" i="793"/>
  <c r="L16" i="793" a="1"/>
  <c r="L16" i="793" s="1"/>
  <c r="K16" i="793" a="1"/>
  <c r="K16" i="793" s="1"/>
  <c r="M16" i="793" a="1"/>
  <c r="M16" i="793" s="1"/>
  <c r="N21" i="793" a="1"/>
  <c r="N21" i="793" s="1"/>
  <c r="L21" i="793" a="1"/>
  <c r="L21" i="793" s="1"/>
  <c r="M21" i="793" a="1"/>
  <c r="M21" i="793" s="1"/>
  <c r="K21" i="793" a="1"/>
  <c r="K21" i="793" s="1"/>
  <c r="M14" i="793" a="1"/>
  <c r="M14" i="793" s="1"/>
  <c r="M17" i="793" s="1" a="1"/>
  <c r="K14" i="793" a="1"/>
  <c r="K14" i="793" s="1"/>
  <c r="L14" i="793" a="1"/>
  <c r="L14" i="793" s="1"/>
  <c r="N22" i="793" a="1"/>
  <c r="N22" i="793" s="1"/>
  <c r="L22" i="793" a="1"/>
  <c r="L22" i="793" s="1"/>
  <c r="M22" i="793" a="1"/>
  <c r="M22" i="793" s="1"/>
  <c r="K22" i="793" a="1"/>
  <c r="K22" i="793" s="1"/>
  <c r="L8" i="793" a="1"/>
  <c r="L8" i="793" s="1"/>
  <c r="K8" i="793" a="1"/>
  <c r="K8" i="793" s="1"/>
  <c r="M8" i="793" a="1"/>
  <c r="M8" i="793" s="1"/>
  <c r="N23" i="793" a="1"/>
  <c r="N23" i="793" s="1"/>
  <c r="L23" i="793" a="1"/>
  <c r="L23" i="793" s="1"/>
  <c r="K23" i="793" a="1"/>
  <c r="K23" i="793" s="1"/>
  <c r="M23" i="793" a="1"/>
  <c r="M23" i="793" s="1"/>
  <c r="M7" i="793" a="1"/>
  <c r="M7" i="793" s="1"/>
  <c r="K7" i="793" a="1"/>
  <c r="K7" i="793" s="1"/>
  <c r="L7" i="793" a="1"/>
  <c r="L7" i="793" s="1"/>
  <c r="L10" i="793" s="1" a="1"/>
  <c r="L15" i="793" a="1"/>
  <c r="L15" i="793" s="1"/>
  <c r="K15" i="793" a="1"/>
  <c r="K15" i="793" s="1"/>
  <c r="M15" i="793" a="1"/>
  <c r="M15" i="793" s="1"/>
  <c r="M9" i="793" a="1"/>
  <c r="M9" i="793" s="1"/>
  <c r="K9" i="793" a="1"/>
  <c r="K9" i="793" s="1"/>
  <c r="L9" i="793" a="1"/>
  <c r="L9" i="793" s="1"/>
  <c r="Q13" i="794"/>
  <c r="Q20" i="794"/>
  <c r="Q26" i="794"/>
  <c r="Q25" i="794"/>
  <c r="Q19" i="794"/>
  <c r="AE26" i="795" l="1"/>
  <c r="AE18" i="795"/>
  <c r="AE29" i="795"/>
  <c r="AC28" i="795"/>
  <c r="AE23" i="795"/>
  <c r="AE32" i="795"/>
  <c r="AC24" i="795"/>
  <c r="AE27" i="795"/>
  <c r="AD30" i="795"/>
  <c r="AE22" i="795"/>
  <c r="AC25" i="795"/>
  <c r="AE34" i="795"/>
  <c r="AD26" i="795"/>
  <c r="AC18" i="795"/>
  <c r="AD21" i="795"/>
  <c r="AC22" i="795"/>
  <c r="AD28" i="795"/>
  <c r="AC19" i="795"/>
  <c r="AC32" i="795"/>
  <c r="AD24" i="795"/>
  <c r="AD20" i="795"/>
  <c r="N8" i="793" a="1"/>
  <c r="N8" i="793" s="1"/>
  <c r="L17" i="793" a="1"/>
  <c r="AD34" i="795"/>
  <c r="AC26" i="795"/>
  <c r="AD29" i="795"/>
  <c r="AC21" i="795"/>
  <c r="AD25" i="795"/>
  <c r="AC23" i="795"/>
  <c r="AD19" i="795"/>
  <c r="AD32" i="795"/>
  <c r="AC27" i="795"/>
  <c r="AC30" i="795"/>
  <c r="AC33" i="795"/>
  <c r="AE17" i="795"/>
  <c r="L10" i="793"/>
  <c r="M17" i="793"/>
  <c r="L17" i="793"/>
  <c r="AB105" i="795"/>
  <c r="Z98" i="795"/>
  <c r="AI6" i="795"/>
  <c r="AK6" i="795" s="1"/>
  <c r="AA106" i="795"/>
  <c r="AB49" i="795"/>
  <c r="Z42" i="795"/>
  <c r="AA50" i="795"/>
  <c r="AB235" i="795"/>
  <c r="Z228" i="795"/>
  <c r="AI9" i="795"/>
  <c r="AK9" i="795" s="1"/>
  <c r="AA236" i="795"/>
  <c r="AB126" i="795"/>
  <c r="Z119" i="795"/>
  <c r="AA127" i="795"/>
  <c r="AA13" i="795"/>
  <c r="AB12" i="795"/>
  <c r="Z5" i="795"/>
  <c r="Z201" i="795"/>
  <c r="AB208" i="795"/>
  <c r="AI10" i="795"/>
  <c r="AK10" i="795" s="1"/>
  <c r="AA209" i="795"/>
  <c r="Z75" i="795"/>
  <c r="AB82" i="795"/>
  <c r="AA83" i="795"/>
  <c r="AB161" i="795"/>
  <c r="Z154" i="795"/>
  <c r="AA162" i="795"/>
  <c r="AJ5" i="795"/>
  <c r="AJ7" i="795" s="1"/>
  <c r="AN6" i="795" s="1"/>
  <c r="AK12" i="795"/>
  <c r="AD33" i="795"/>
  <c r="AC17" i="795"/>
  <c r="AC31" i="795"/>
  <c r="AE20" i="795"/>
  <c r="AD31" i="795"/>
  <c r="AE30" i="795"/>
  <c r="AE33" i="795"/>
  <c r="AD17" i="795"/>
  <c r="AC20" i="795"/>
  <c r="K10" i="793" a="1"/>
  <c r="K10" i="793" s="1"/>
  <c r="R7" i="793" s="1"/>
  <c r="K5" i="793"/>
  <c r="N7" i="793" a="1"/>
  <c r="N7" i="793" s="1"/>
  <c r="N15" i="793" a="1"/>
  <c r="N15" i="793" s="1"/>
  <c r="M10" i="793" a="1"/>
  <c r="M10" i="793" s="1"/>
  <c r="N16" i="793" a="1"/>
  <c r="N16" i="793" s="1"/>
  <c r="N9" i="793" a="1"/>
  <c r="N9" i="793" s="1"/>
  <c r="K17" i="793" a="1"/>
  <c r="K17" i="793" s="1"/>
  <c r="N14" i="793" a="1"/>
  <c r="N14" i="793" s="1"/>
  <c r="Q27" i="793"/>
  <c r="Q21" i="793"/>
  <c r="N22" i="794" a="1"/>
  <c r="N22" i="794" s="1"/>
  <c r="N21" i="794" a="1"/>
  <c r="N21" i="794" s="1"/>
  <c r="M24" i="794" a="1"/>
  <c r="M24" i="794" s="1"/>
  <c r="K24" i="794" a="1"/>
  <c r="K24" i="794" s="1"/>
  <c r="L24" i="794" a="1"/>
  <c r="L24" i="794" s="1"/>
  <c r="N24" i="794"/>
  <c r="S14" i="794" s="1"/>
  <c r="Q27" i="794"/>
  <c r="Q21" i="794"/>
  <c r="N10" i="793" l="1" a="1"/>
  <c r="M23" i="794" a="1"/>
  <c r="M23" i="794" s="1"/>
  <c r="R11" i="793"/>
  <c r="S11" i="793" s="1"/>
  <c r="M22" i="794" a="1"/>
  <c r="M22" i="794" s="1"/>
  <c r="L23" i="794" a="1"/>
  <c r="L23" i="794" s="1"/>
  <c r="K23" i="794" a="1"/>
  <c r="K23" i="794" s="1"/>
  <c r="N23" i="794" a="1"/>
  <c r="N23" i="794" s="1"/>
  <c r="N10" i="793"/>
  <c r="R14" i="793" s="1"/>
  <c r="R10" i="793" s="1"/>
  <c r="K21" i="794" a="1"/>
  <c r="K21" i="794" s="1"/>
  <c r="AB162" i="795"/>
  <c r="Z156" i="795" s="1"/>
  <c r="AC153" i="795"/>
  <c r="AC154" i="795" s="1"/>
  <c r="AC155" i="795"/>
  <c r="AB13" i="795"/>
  <c r="Z7" i="795" s="1"/>
  <c r="AC6" i="795"/>
  <c r="AC4" i="795"/>
  <c r="AC5" i="795" s="1"/>
  <c r="Z155" i="795"/>
  <c r="Z153" i="795"/>
  <c r="Z76" i="795"/>
  <c r="Z74" i="795"/>
  <c r="Z202" i="795"/>
  <c r="Z200" i="795"/>
  <c r="AB127" i="795"/>
  <c r="Z121" i="795" s="1"/>
  <c r="AC118" i="795"/>
  <c r="AC119" i="795" s="1"/>
  <c r="AC120" i="795"/>
  <c r="Z41" i="795"/>
  <c r="Z43" i="795"/>
  <c r="Z99" i="795"/>
  <c r="Z97" i="795"/>
  <c r="AB83" i="795"/>
  <c r="Z77" i="795" s="1"/>
  <c r="AC74" i="795"/>
  <c r="AC75" i="795" s="1"/>
  <c r="AC76" i="795"/>
  <c r="AB106" i="795"/>
  <c r="Z100" i="795" s="1"/>
  <c r="AC97" i="795"/>
  <c r="AC98" i="795" s="1"/>
  <c r="AC99" i="795"/>
  <c r="AB236" i="795"/>
  <c r="Z230" i="795" s="1"/>
  <c r="AC229" i="795"/>
  <c r="AC227" i="795"/>
  <c r="AC228" i="795" s="1"/>
  <c r="AC43" i="795"/>
  <c r="AC41" i="795"/>
  <c r="AC42" i="795" s="1"/>
  <c r="AI8" i="795"/>
  <c r="AB50" i="795"/>
  <c r="Z44" i="795" s="1"/>
  <c r="AB209" i="795"/>
  <c r="Z203" i="795" s="1"/>
  <c r="AC202" i="795"/>
  <c r="AC200" i="795"/>
  <c r="AC201" i="795" s="1"/>
  <c r="Z4" i="795"/>
  <c r="Z6" i="795"/>
  <c r="Z120" i="795"/>
  <c r="Z118" i="795"/>
  <c r="Z229" i="795"/>
  <c r="Z227" i="795"/>
  <c r="N17" i="793" a="1"/>
  <c r="N17" i="793" s="1"/>
  <c r="R8" i="793"/>
  <c r="M7" i="794" a="1"/>
  <c r="M7" i="794" s="1"/>
  <c r="K7" i="794" a="1"/>
  <c r="K7" i="794" s="1"/>
  <c r="L7" i="794" a="1"/>
  <c r="L7" i="794" s="1"/>
  <c r="L8" i="794" a="1"/>
  <c r="L8" i="794" s="1"/>
  <c r="K8" i="794" a="1"/>
  <c r="K8" i="794" s="1"/>
  <c r="M8" i="794" a="1"/>
  <c r="M8" i="794" s="1"/>
  <c r="L16" i="794" a="1"/>
  <c r="L16" i="794" s="1"/>
  <c r="M16" i="794" a="1"/>
  <c r="M16" i="794" s="1"/>
  <c r="K16" i="794" a="1"/>
  <c r="K16" i="794" s="1"/>
  <c r="M21" i="794" a="1"/>
  <c r="M21" i="794" s="1"/>
  <c r="L15" i="794" a="1"/>
  <c r="L15" i="794" s="1"/>
  <c r="M15" i="794" a="1"/>
  <c r="M15" i="794" s="1"/>
  <c r="K15" i="794" a="1"/>
  <c r="K15" i="794" s="1"/>
  <c r="L22" i="794" a="1"/>
  <c r="L22" i="794" s="1"/>
  <c r="L21" i="794" a="1"/>
  <c r="L21" i="794" s="1"/>
  <c r="K22" i="794" a="1"/>
  <c r="K22" i="794" s="1"/>
  <c r="M9" i="794" a="1"/>
  <c r="M9" i="794" s="1"/>
  <c r="K9" i="794" a="1"/>
  <c r="K9" i="794" s="1"/>
  <c r="L9" i="794" a="1"/>
  <c r="L9" i="794" s="1"/>
  <c r="M14" i="794" a="1"/>
  <c r="M14" i="794" s="1"/>
  <c r="M17" i="794" s="1" a="1"/>
  <c r="M17" i="794" s="1"/>
  <c r="K14" i="794" a="1"/>
  <c r="K14" i="794" s="1"/>
  <c r="L14" i="794" a="1"/>
  <c r="L14" i="794" s="1"/>
  <c r="L10" i="794" l="1" a="1"/>
  <c r="N15" i="794" a="1"/>
  <c r="R25" i="793"/>
  <c r="S25" i="793" s="1"/>
  <c r="R19" i="793"/>
  <c r="S19" i="793" s="1"/>
  <c r="AC49" i="795"/>
  <c r="AD49" i="795" s="1"/>
  <c r="AE49" i="795" s="1"/>
  <c r="AC161" i="795"/>
  <c r="AD161" i="795" s="1"/>
  <c r="AE161" i="795" s="1"/>
  <c r="AC82" i="795"/>
  <c r="AD82" i="795" s="1"/>
  <c r="AE82" i="795" s="1"/>
  <c r="AC126" i="795"/>
  <c r="AD126" i="795" s="1"/>
  <c r="AE126" i="795" s="1"/>
  <c r="AC105" i="795"/>
  <c r="AD105" i="795" s="1"/>
  <c r="AE105" i="795" s="1"/>
  <c r="L10" i="794"/>
  <c r="Q14" i="793"/>
  <c r="Q7" i="793" s="1"/>
  <c r="Q9" i="793" s="1"/>
  <c r="AC208" i="795"/>
  <c r="AD208" i="795" s="1"/>
  <c r="AE208" i="795" s="1"/>
  <c r="N15" i="794"/>
  <c r="AC235" i="795"/>
  <c r="AD235" i="795" s="1"/>
  <c r="AE235" i="795" s="1"/>
  <c r="AI11" i="795"/>
  <c r="AK11" i="795" s="1"/>
  <c r="AI5" i="795"/>
  <c r="AI7" i="795" s="1"/>
  <c r="AK7" i="795" s="1"/>
  <c r="AL6" i="795" s="1"/>
  <c r="AM6" i="795" s="1"/>
  <c r="AC12" i="795"/>
  <c r="AD12" i="795" s="1"/>
  <c r="AE12" i="795" s="1"/>
  <c r="R12" i="793"/>
  <c r="S8" i="793"/>
  <c r="R9" i="793"/>
  <c r="K10" i="794" a="1"/>
  <c r="K10" i="794" s="1"/>
  <c r="R7" i="794" s="1"/>
  <c r="K5" i="794"/>
  <c r="N7" i="794" a="1"/>
  <c r="N7" i="794" s="1"/>
  <c r="N16" i="794" a="1"/>
  <c r="N16" i="794" s="1"/>
  <c r="N8" i="794" a="1"/>
  <c r="N8" i="794" s="1"/>
  <c r="M10" i="794" a="1"/>
  <c r="M10" i="794" s="1"/>
  <c r="K17" i="794" a="1"/>
  <c r="K17" i="794" s="1"/>
  <c r="N14" i="794" a="1"/>
  <c r="N14" i="794" s="1"/>
  <c r="L17" i="794" a="1"/>
  <c r="L17" i="794" s="1"/>
  <c r="N9" i="794" a="1"/>
  <c r="N9" i="794" s="1"/>
  <c r="N10" i="794" l="1" a="1"/>
  <c r="R11" i="794"/>
  <c r="S11" i="794" s="1"/>
  <c r="N10" i="794"/>
  <c r="R14" i="794" s="1"/>
  <c r="Q14" i="794" s="1"/>
  <c r="Q7" i="794" s="1"/>
  <c r="Q9" i="794" s="1"/>
  <c r="S9" i="793"/>
  <c r="T8" i="793" s="1"/>
  <c r="U8" i="793" s="1"/>
  <c r="AL9" i="795"/>
  <c r="AM9" i="795" s="1"/>
  <c r="AL10" i="795"/>
  <c r="AM10" i="795" s="1"/>
  <c r="V8" i="793"/>
  <c r="R26" i="793"/>
  <c r="R20" i="793"/>
  <c r="S12" i="793"/>
  <c r="R13" i="793"/>
  <c r="V12" i="793" s="1"/>
  <c r="N17" i="794" a="1"/>
  <c r="N17" i="794" s="1"/>
  <c r="R8" i="794"/>
  <c r="R19" i="794"/>
  <c r="R10" i="794"/>
  <c r="R25" i="794" l="1"/>
  <c r="S25" i="794" s="1"/>
  <c r="S20" i="793"/>
  <c r="R27" i="793"/>
  <c r="R21" i="793"/>
  <c r="S13" i="793"/>
  <c r="T11" i="793" s="1"/>
  <c r="U11" i="793" s="1"/>
  <c r="V11" i="793"/>
  <c r="S26" i="793"/>
  <c r="R12" i="794"/>
  <c r="R13" i="794" s="1"/>
  <c r="S8" i="794"/>
  <c r="S19" i="794"/>
  <c r="R9" i="794"/>
  <c r="S9" i="794" s="1"/>
  <c r="V8" i="794" l="1"/>
  <c r="S27" i="793"/>
  <c r="T25" i="793" s="1"/>
  <c r="S21" i="793"/>
  <c r="T19" i="793" s="1"/>
  <c r="T12" i="793"/>
  <c r="U12" i="793" s="1"/>
  <c r="R27" i="794"/>
  <c r="R21" i="794"/>
  <c r="S13" i="794"/>
  <c r="T11" i="794" s="1"/>
  <c r="U11" i="794" s="1"/>
  <c r="V11" i="794"/>
  <c r="R26" i="794"/>
  <c r="V12" i="794"/>
  <c r="R20" i="794"/>
  <c r="S12" i="794"/>
  <c r="T8" i="794"/>
  <c r="U8" i="794" s="1"/>
  <c r="T26" i="793" l="1"/>
  <c r="T20" i="793"/>
  <c r="S26" i="794"/>
  <c r="T12" i="794"/>
  <c r="U12" i="794" s="1"/>
  <c r="S21" i="794"/>
  <c r="T19" i="794" s="1"/>
  <c r="S20" i="794"/>
  <c r="S27" i="794"/>
  <c r="T25" i="794" s="1"/>
  <c r="T20" i="794" l="1"/>
  <c r="T26" i="794"/>
  <c r="O10" i="767" l="1"/>
  <c r="O11" i="767"/>
  <c r="J17" i="767"/>
  <c r="I17" i="767"/>
  <c r="H17" i="767"/>
  <c r="G17" i="767"/>
  <c r="E17" i="767"/>
  <c r="D17" i="767"/>
  <c r="C17" i="767"/>
  <c r="B17" i="767"/>
  <c r="J16" i="767"/>
  <c r="I16" i="767"/>
  <c r="H16" i="767"/>
  <c r="G16" i="767"/>
  <c r="E16" i="767"/>
  <c r="D16" i="767"/>
  <c r="C16" i="767"/>
  <c r="B16" i="767"/>
  <c r="O9" i="767"/>
  <c r="N6" i="767"/>
  <c r="M6" i="767"/>
  <c r="J17" i="766"/>
  <c r="I17" i="766"/>
  <c r="H17" i="766"/>
  <c r="G17" i="766"/>
  <c r="E17" i="766"/>
  <c r="D17" i="766"/>
  <c r="C17" i="766"/>
  <c r="B17" i="766"/>
  <c r="J16" i="766"/>
  <c r="I16" i="766"/>
  <c r="H16" i="766"/>
  <c r="G16" i="766"/>
  <c r="E16" i="766"/>
  <c r="D16" i="766"/>
  <c r="C16" i="766"/>
  <c r="B16" i="766"/>
  <c r="O6" i="767" l="1"/>
  <c r="O15" i="767"/>
  <c r="O12" i="767"/>
  <c r="O13" i="767" l="1"/>
  <c r="B60" i="308" l="1"/>
  <c r="B52" i="308"/>
  <c r="I34" i="756" l="1"/>
  <c r="I28" i="756"/>
  <c r="I27" i="756"/>
  <c r="I26" i="756"/>
  <c r="I25" i="756"/>
  <c r="I22" i="756"/>
  <c r="Z18" i="756"/>
  <c r="Y18" i="756"/>
  <c r="P18" i="756"/>
  <c r="P24" i="756" s="1"/>
  <c r="AC12" i="756"/>
  <c r="AB12" i="756"/>
  <c r="AA12" i="756"/>
  <c r="Z12" i="756"/>
  <c r="Y12" i="756"/>
  <c r="AC11" i="756"/>
  <c r="AB11" i="756"/>
  <c r="AA11" i="756"/>
  <c r="Z11" i="756"/>
  <c r="Y11" i="756"/>
  <c r="AC10" i="756"/>
  <c r="AB10" i="756"/>
  <c r="AA10" i="756"/>
  <c r="Z10" i="756"/>
  <c r="Y10" i="756"/>
  <c r="AC9" i="756"/>
  <c r="AB9" i="756"/>
  <c r="AA9" i="756"/>
  <c r="Z9" i="756"/>
  <c r="Y9" i="756"/>
  <c r="AC8" i="756"/>
  <c r="AB8" i="756"/>
  <c r="AA8" i="756"/>
  <c r="Z8" i="756"/>
  <c r="Y8" i="756"/>
  <c r="AC7" i="756"/>
  <c r="AB7" i="756"/>
  <c r="AA7" i="756"/>
  <c r="Z7" i="756"/>
  <c r="Y7" i="756"/>
  <c r="AC6" i="756"/>
  <c r="AB6" i="756"/>
  <c r="AA6" i="756"/>
  <c r="Z6" i="756"/>
  <c r="Y6" i="756"/>
  <c r="A6" i="756"/>
  <c r="A7" i="756" s="1"/>
  <c r="A8" i="756" s="1"/>
  <c r="A9" i="756" s="1"/>
  <c r="A10" i="756" s="1"/>
  <c r="A11" i="756" s="1"/>
  <c r="A12" i="756" s="1"/>
  <c r="AC5" i="756"/>
  <c r="AB5" i="756"/>
  <c r="AA5" i="756"/>
  <c r="Z5" i="756"/>
  <c r="Y5" i="756"/>
  <c r="X5" i="756"/>
  <c r="P4" i="756"/>
  <c r="X6" i="756" s="1"/>
  <c r="AA18" i="756" l="1"/>
  <c r="I30" i="756"/>
  <c r="I36" i="756" s="1"/>
  <c r="Y17" i="756"/>
  <c r="Y16" i="756" s="1"/>
  <c r="Q4" i="756"/>
  <c r="P19" i="756"/>
  <c r="I29" i="756"/>
  <c r="I32" i="756" l="1"/>
  <c r="R4" i="756"/>
  <c r="X7" i="756"/>
  <c r="I31" i="756"/>
  <c r="I35" i="756"/>
  <c r="X8" i="756" l="1"/>
  <c r="S4" i="756"/>
  <c r="X9" i="756" l="1"/>
  <c r="T4" i="756"/>
  <c r="X10" i="756" l="1"/>
  <c r="U4" i="756"/>
  <c r="X11" i="756" l="1"/>
  <c r="V4" i="756"/>
  <c r="X12" i="756" l="1"/>
  <c r="Z16" i="756" s="1"/>
  <c r="P25" i="756"/>
  <c r="P26" i="756" l="1"/>
  <c r="P27" i="756"/>
  <c r="AA16" i="756"/>
  <c r="Z17" i="756"/>
  <c r="AA17" i="756" s="1"/>
  <c r="AB16" i="756" l="1"/>
  <c r="AC16" i="756" s="1"/>
  <c r="AD16" i="756"/>
  <c r="P29" i="756"/>
  <c r="P31" i="756" s="1"/>
  <c r="AE16" i="756"/>
  <c r="AD5" i="756"/>
  <c r="AD12" i="756"/>
  <c r="AD11" i="756"/>
  <c r="AD10" i="756"/>
  <c r="AD8" i="756"/>
  <c r="AD9" i="756"/>
  <c r="AD6" i="756"/>
  <c r="AD7" i="756"/>
  <c r="AF16" i="756"/>
  <c r="P30" i="756"/>
  <c r="P32" i="756" s="1"/>
  <c r="AF6" i="756" l="1"/>
  <c r="AE6" i="756"/>
  <c r="AF11" i="756"/>
  <c r="AE11" i="756"/>
  <c r="AE9" i="756"/>
  <c r="AF9" i="756"/>
  <c r="AF12" i="756"/>
  <c r="AE12" i="756"/>
  <c r="AF8" i="756"/>
  <c r="AE8" i="756"/>
  <c r="AF5" i="756"/>
  <c r="AE5" i="756"/>
  <c r="AE7" i="756"/>
  <c r="AF7" i="756"/>
  <c r="AE10" i="756"/>
  <c r="AF10" i="756"/>
  <c r="K22" i="737"/>
  <c r="I22" i="737"/>
  <c r="H22" i="737"/>
  <c r="A20" i="737"/>
  <c r="A21" i="737" s="1"/>
  <c r="A22" i="737" s="1"/>
  <c r="K19" i="737"/>
  <c r="J19" i="737"/>
  <c r="I19" i="737"/>
  <c r="L18" i="737"/>
  <c r="L16" i="737"/>
  <c r="G16" i="737"/>
  <c r="G17" i="737" s="1"/>
  <c r="G18" i="737" s="1"/>
  <c r="A16" i="737"/>
  <c r="A17" i="737" s="1"/>
  <c r="A18" i="737" s="1"/>
  <c r="L15" i="737"/>
  <c r="I14" i="737"/>
  <c r="J14" i="737" s="1"/>
  <c r="K14" i="737" s="1"/>
  <c r="C14" i="737"/>
  <c r="D14" i="737" s="1"/>
  <c r="E14" i="737" s="1"/>
  <c r="K11" i="737"/>
  <c r="J11" i="737"/>
  <c r="I11" i="737"/>
  <c r="H11" i="737"/>
  <c r="A9" i="737"/>
  <c r="A10" i="737" s="1"/>
  <c r="A11" i="737" s="1"/>
  <c r="K8" i="737"/>
  <c r="J8" i="737"/>
  <c r="I8" i="737"/>
  <c r="H8" i="737"/>
  <c r="L7" i="737"/>
  <c r="L6" i="737"/>
  <c r="L5" i="737"/>
  <c r="G5" i="737"/>
  <c r="G6" i="737" s="1"/>
  <c r="G7" i="737" s="1"/>
  <c r="A5" i="737"/>
  <c r="A6" i="737" s="1"/>
  <c r="A7" i="737" s="1"/>
  <c r="L4" i="737"/>
  <c r="I3" i="737"/>
  <c r="J3" i="737" s="1"/>
  <c r="K3" i="737" s="1"/>
  <c r="C3" i="737"/>
  <c r="D3" i="737" s="1"/>
  <c r="E3" i="737" s="1"/>
  <c r="N17" i="739"/>
  <c r="N18" i="739" s="1"/>
  <c r="N19" i="739" s="1"/>
  <c r="N13" i="739"/>
  <c r="N14" i="739" s="1"/>
  <c r="N15" i="739" s="1"/>
  <c r="N9" i="739"/>
  <c r="N10" i="739" s="1"/>
  <c r="N11" i="739" s="1"/>
  <c r="G9" i="739"/>
  <c r="G10" i="739" s="1"/>
  <c r="G11" i="739" s="1"/>
  <c r="N5" i="739"/>
  <c r="N6" i="739" s="1"/>
  <c r="N7" i="739" s="1"/>
  <c r="G5" i="739"/>
  <c r="G6" i="739" s="1"/>
  <c r="G7" i="739" s="1"/>
  <c r="A5" i="739"/>
  <c r="A6" i="739" s="1"/>
  <c r="A7" i="739" s="1"/>
  <c r="I3" i="739"/>
  <c r="J3" i="739" s="1"/>
  <c r="K3" i="739" s="1"/>
  <c r="C3" i="739"/>
  <c r="D3" i="739" s="1"/>
  <c r="E3" i="739" s="1"/>
  <c r="H34" i="742"/>
  <c r="M18" i="742" s="1"/>
  <c r="C34" i="742"/>
  <c r="D34" i="742"/>
  <c r="E34" i="742"/>
  <c r="F34" i="742"/>
  <c r="G34" i="742"/>
  <c r="B34" i="742"/>
  <c r="H33" i="742"/>
  <c r="C33" i="742"/>
  <c r="D33" i="742"/>
  <c r="E33" i="742"/>
  <c r="F33" i="742"/>
  <c r="G33" i="742"/>
  <c r="B33" i="742"/>
  <c r="A33" i="742"/>
  <c r="H32" i="742"/>
  <c r="C32" i="742"/>
  <c r="D32" i="742"/>
  <c r="E32" i="742"/>
  <c r="F32" i="742"/>
  <c r="G32" i="742"/>
  <c r="B32" i="742"/>
  <c r="A32" i="742"/>
  <c r="H31" i="742"/>
  <c r="C31" i="742"/>
  <c r="D31" i="742"/>
  <c r="E31" i="742"/>
  <c r="F31" i="742"/>
  <c r="G31" i="742"/>
  <c r="B31" i="742"/>
  <c r="A31" i="742"/>
  <c r="H30" i="742"/>
  <c r="C30" i="742"/>
  <c r="D30" i="742"/>
  <c r="E30" i="742"/>
  <c r="F30" i="742"/>
  <c r="G30" i="742"/>
  <c r="B30" i="742"/>
  <c r="A30" i="742"/>
  <c r="B29" i="742"/>
  <c r="H26" i="742"/>
  <c r="C26" i="742"/>
  <c r="D26" i="742"/>
  <c r="E26" i="742"/>
  <c r="F26" i="742"/>
  <c r="G26" i="742"/>
  <c r="B26" i="742"/>
  <c r="H25" i="742"/>
  <c r="C25" i="742"/>
  <c r="D25" i="742"/>
  <c r="E25" i="742"/>
  <c r="F25" i="742"/>
  <c r="G25" i="742"/>
  <c r="B25" i="742"/>
  <c r="A25" i="742"/>
  <c r="H24" i="742"/>
  <c r="C24" i="742"/>
  <c r="D24" i="742"/>
  <c r="E24" i="742"/>
  <c r="F24" i="742"/>
  <c r="G24" i="742"/>
  <c r="B24" i="742"/>
  <c r="A24" i="742"/>
  <c r="H23" i="742"/>
  <c r="C23" i="742"/>
  <c r="D23" i="742"/>
  <c r="E23" i="742"/>
  <c r="F23" i="742"/>
  <c r="G23" i="742"/>
  <c r="B23" i="742"/>
  <c r="A23" i="742"/>
  <c r="H22" i="742"/>
  <c r="C22" i="742"/>
  <c r="D22" i="742"/>
  <c r="E22" i="742"/>
  <c r="F22" i="742"/>
  <c r="G22" i="742"/>
  <c r="B22" i="742"/>
  <c r="A22" i="742"/>
  <c r="B21" i="742"/>
  <c r="H18" i="742"/>
  <c r="L18" i="742" s="1"/>
  <c r="K18" i="742" s="1"/>
  <c r="C18" i="742"/>
  <c r="D18" i="742"/>
  <c r="E18" i="742"/>
  <c r="F18" i="742"/>
  <c r="G18" i="742"/>
  <c r="B18" i="742"/>
  <c r="H17" i="742"/>
  <c r="C17" i="742"/>
  <c r="D17" i="742"/>
  <c r="E17" i="742"/>
  <c r="F17" i="742"/>
  <c r="G17" i="742"/>
  <c r="B17" i="742"/>
  <c r="A17" i="742"/>
  <c r="H16" i="742"/>
  <c r="C16" i="742"/>
  <c r="D16" i="742"/>
  <c r="E16" i="742"/>
  <c r="F16" i="742"/>
  <c r="G16" i="742"/>
  <c r="B16" i="742"/>
  <c r="A16" i="742"/>
  <c r="H15" i="742"/>
  <c r="C15" i="742"/>
  <c r="D15" i="742"/>
  <c r="E15" i="742"/>
  <c r="F15" i="742"/>
  <c r="G15" i="742"/>
  <c r="B15" i="742"/>
  <c r="A15" i="742"/>
  <c r="H14" i="742"/>
  <c r="C14" i="742"/>
  <c r="D14" i="742"/>
  <c r="E14" i="742"/>
  <c r="F14" i="742"/>
  <c r="G14" i="742"/>
  <c r="B14" i="742"/>
  <c r="A14" i="742"/>
  <c r="B13" i="742"/>
  <c r="C3" i="742"/>
  <c r="C29" i="742" s="1"/>
  <c r="L8" i="737" l="1"/>
  <c r="B21" i="737" s="1"/>
  <c r="B12" i="742"/>
  <c r="K14" i="742"/>
  <c r="L15" i="742"/>
  <c r="L14" i="742"/>
  <c r="C21" i="742"/>
  <c r="K15" i="742"/>
  <c r="C13" i="742"/>
  <c r="D3" i="742"/>
  <c r="P16" i="737" l="1"/>
  <c r="J22" i="737"/>
  <c r="H17" i="737"/>
  <c r="L17" i="737" s="1"/>
  <c r="L19" i="737" s="1"/>
  <c r="M14" i="742"/>
  <c r="M15" i="742"/>
  <c r="K16" i="742"/>
  <c r="L16" i="742"/>
  <c r="D13" i="742"/>
  <c r="D29" i="742"/>
  <c r="D21" i="742"/>
  <c r="E3" i="742"/>
  <c r="P17" i="737" l="1"/>
  <c r="O17" i="737" s="1"/>
  <c r="Q17" i="737" s="1"/>
  <c r="O16" i="737"/>
  <c r="Q16" i="737" s="1"/>
  <c r="H19" i="737"/>
  <c r="O20" i="737"/>
  <c r="Q20" i="737" s="1"/>
  <c r="P18" i="737"/>
  <c r="M16" i="742"/>
  <c r="E13" i="742"/>
  <c r="E29" i="742"/>
  <c r="E21" i="742"/>
  <c r="F3" i="742"/>
  <c r="O18" i="737" l="1"/>
  <c r="Q18" i="737" s="1"/>
  <c r="O19" i="737"/>
  <c r="Q19" i="737" s="1"/>
  <c r="R16" i="737" s="1"/>
  <c r="S16" i="737" s="1"/>
  <c r="T16" i="737" s="1"/>
  <c r="F21" i="742"/>
  <c r="F13" i="742"/>
  <c r="F29" i="742"/>
  <c r="N15" i="742"/>
  <c r="O15" i="742" s="1"/>
  <c r="P15" i="742" s="1"/>
  <c r="N14" i="742"/>
  <c r="O14" i="742" s="1"/>
  <c r="P14" i="742" s="1"/>
  <c r="G3" i="742"/>
  <c r="R18" i="737" l="1"/>
  <c r="S18" i="737" s="1"/>
  <c r="T18" i="737" s="1"/>
  <c r="R17" i="737"/>
  <c r="S17" i="737" s="1"/>
  <c r="T17" i="737" s="1"/>
  <c r="G29" i="742"/>
  <c r="G13" i="742"/>
  <c r="G21" i="742"/>
  <c r="N20" i="723" l="1" a="1"/>
  <c r="N20" i="723" s="1"/>
  <c r="L50" i="723"/>
  <c r="L51" i="723"/>
  <c r="L52" i="723"/>
  <c r="L53" i="723"/>
  <c r="L54" i="723"/>
  <c r="L55" i="723"/>
  <c r="L56" i="723"/>
  <c r="L57" i="723"/>
  <c r="L58" i="723"/>
  <c r="L59" i="723"/>
  <c r="L60" i="723"/>
  <c r="L61" i="723"/>
  <c r="L62" i="723"/>
  <c r="L63" i="723"/>
  <c r="L49" i="723"/>
  <c r="L35" i="723"/>
  <c r="L36" i="723"/>
  <c r="L37" i="723"/>
  <c r="L38" i="723"/>
  <c r="L39" i="723"/>
  <c r="L40" i="723"/>
  <c r="L41" i="723"/>
  <c r="L42" i="723"/>
  <c r="L43" i="723"/>
  <c r="L44" i="723"/>
  <c r="L45" i="723"/>
  <c r="L46" i="723"/>
  <c r="L47" i="723"/>
  <c r="L48" i="723"/>
  <c r="L34" i="723"/>
  <c r="L20" i="723"/>
  <c r="L21" i="723"/>
  <c r="L22" i="723"/>
  <c r="L23" i="723"/>
  <c r="L24" i="723"/>
  <c r="L25" i="723"/>
  <c r="L26" i="723"/>
  <c r="L27" i="723"/>
  <c r="L28" i="723"/>
  <c r="L29" i="723"/>
  <c r="L30" i="723"/>
  <c r="L31" i="723"/>
  <c r="L32" i="723"/>
  <c r="L33" i="723"/>
  <c r="L19" i="723"/>
  <c r="L5" i="723"/>
  <c r="L6" i="723"/>
  <c r="L7" i="723"/>
  <c r="L8" i="723"/>
  <c r="L9" i="723"/>
  <c r="L10" i="723"/>
  <c r="L11" i="723"/>
  <c r="L12" i="723"/>
  <c r="L13" i="723"/>
  <c r="L14" i="723"/>
  <c r="L15" i="723"/>
  <c r="L16" i="723"/>
  <c r="L17" i="723"/>
  <c r="L18" i="723"/>
  <c r="L4" i="723"/>
  <c r="F5" i="723"/>
  <c r="K35" i="723" s="1"/>
  <c r="F6" i="723"/>
  <c r="K51" i="723" s="1"/>
  <c r="F7" i="723"/>
  <c r="K37" i="723" s="1"/>
  <c r="F8" i="723"/>
  <c r="K53" i="723" s="1"/>
  <c r="F9" i="723"/>
  <c r="K39" i="723" s="1"/>
  <c r="F10" i="723"/>
  <c r="K55" i="723" s="1"/>
  <c r="F11" i="723"/>
  <c r="K41" i="723" s="1"/>
  <c r="F12" i="723"/>
  <c r="K57" i="723" s="1"/>
  <c r="F13" i="723"/>
  <c r="K43" i="723" s="1"/>
  <c r="F14" i="723"/>
  <c r="K59" i="723" s="1"/>
  <c r="F15" i="723"/>
  <c r="K45" i="723" s="1"/>
  <c r="F16" i="723"/>
  <c r="K61" i="723" s="1"/>
  <c r="F17" i="723"/>
  <c r="K47" i="723" s="1"/>
  <c r="F18" i="723"/>
  <c r="K63" i="723" s="1"/>
  <c r="F4" i="723"/>
  <c r="K4" i="723" s="1"/>
  <c r="A5" i="723"/>
  <c r="A6" i="723" s="1"/>
  <c r="A7" i="723" s="1"/>
  <c r="A8" i="723" s="1"/>
  <c r="A9" i="723" s="1"/>
  <c r="A10" i="723" s="1"/>
  <c r="A11" i="723" s="1"/>
  <c r="A12" i="723" s="1"/>
  <c r="A13" i="723" s="1"/>
  <c r="A14" i="723" s="1"/>
  <c r="A15" i="723" s="1"/>
  <c r="A16" i="723" s="1"/>
  <c r="A17" i="723" s="1"/>
  <c r="A18" i="723" s="1"/>
  <c r="O14" i="723" l="1"/>
  <c r="K38" i="723"/>
  <c r="K42" i="723"/>
  <c r="K49" i="723"/>
  <c r="K15" i="723"/>
  <c r="K52" i="723"/>
  <c r="K22" i="723"/>
  <c r="K19" i="723"/>
  <c r="K56" i="723"/>
  <c r="P16" i="723"/>
  <c r="K11" i="723"/>
  <c r="K30" i="723"/>
  <c r="K7" i="723"/>
  <c r="K26" i="723"/>
  <c r="K46" i="723"/>
  <c r="K60" i="723"/>
  <c r="K18" i="723"/>
  <c r="K10" i="723"/>
  <c r="K6" i="723"/>
  <c r="K32" i="723"/>
  <c r="K28" i="723"/>
  <c r="K24" i="723"/>
  <c r="K20" i="723"/>
  <c r="K17" i="723"/>
  <c r="K13" i="723"/>
  <c r="K9" i="723"/>
  <c r="K5" i="723"/>
  <c r="K34" i="723"/>
  <c r="O10" i="723"/>
  <c r="O16" i="723" s="1"/>
  <c r="K14" i="723"/>
  <c r="K48" i="723"/>
  <c r="K44" i="723"/>
  <c r="K40" i="723"/>
  <c r="K36" i="723"/>
  <c r="K62" i="723"/>
  <c r="K58" i="723"/>
  <c r="K54" i="723"/>
  <c r="K50" i="723"/>
  <c r="K16" i="723"/>
  <c r="K12" i="723"/>
  <c r="K8" i="723"/>
  <c r="K33" i="723"/>
  <c r="K31" i="723"/>
  <c r="K29" i="723"/>
  <c r="K27" i="723"/>
  <c r="K25" i="723"/>
  <c r="K23" i="723"/>
  <c r="K21" i="723"/>
  <c r="N21" i="723"/>
  <c r="N23" i="723"/>
  <c r="N22" i="723"/>
  <c r="O15" i="723" l="1"/>
  <c r="T22" i="723" l="1"/>
  <c r="S22" i="723"/>
  <c r="Q22" i="723"/>
  <c r="R22" i="723" s="1"/>
  <c r="Q23" i="723"/>
  <c r="R23" i="723" s="1"/>
  <c r="T23" i="723"/>
  <c r="S23" i="723"/>
  <c r="Q20" i="723"/>
  <c r="R20" i="723" s="1"/>
  <c r="T20" i="723"/>
  <c r="S20" i="723"/>
  <c r="S21" i="723"/>
  <c r="T21" i="723"/>
  <c r="Q21" i="723"/>
  <c r="R21" i="723" s="1"/>
  <c r="T19" i="723" l="1"/>
  <c r="Q19" i="723"/>
  <c r="R19" i="723" s="1"/>
  <c r="S19" i="723"/>
  <c r="N16" i="594" l="1"/>
  <c r="M16" i="594"/>
  <c r="M9" i="594"/>
  <c r="N4" i="594"/>
  <c r="O4" i="594"/>
  <c r="P4" i="594"/>
  <c r="N5" i="594"/>
  <c r="O5" i="594"/>
  <c r="P5" i="594"/>
  <c r="M5" i="594"/>
  <c r="M4" i="594"/>
  <c r="N3" i="594"/>
  <c r="O3" i="594"/>
  <c r="P3" i="594"/>
  <c r="M3" i="594"/>
  <c r="M8" i="594" l="1"/>
  <c r="N14" i="594"/>
  <c r="N15" i="594" s="1"/>
  <c r="M13" i="594" l="1"/>
  <c r="O13" i="594" s="1"/>
  <c r="N6" i="594"/>
  <c r="P6" i="594"/>
  <c r="M6" i="594"/>
  <c r="O6" i="594"/>
  <c r="M14" i="594"/>
  <c r="O14" i="594" s="1"/>
  <c r="O15" i="594"/>
  <c r="P13" i="594" l="1"/>
  <c r="Q13" i="594" s="1"/>
  <c r="P14" i="594"/>
  <c r="Q14" i="594" s="1"/>
  <c r="D10" i="680" l="1"/>
  <c r="C10" i="680"/>
  <c r="B10" i="680"/>
  <c r="D6" i="680"/>
  <c r="C6" i="680"/>
  <c r="B6" i="680"/>
  <c r="D5" i="680"/>
  <c r="C5" i="680"/>
  <c r="B5" i="680"/>
  <c r="D11" i="680" l="1"/>
  <c r="D12" i="680" s="1"/>
  <c r="B11" i="680"/>
  <c r="B12" i="680" s="1"/>
  <c r="C11" i="680"/>
  <c r="C12" i="680" s="1"/>
  <c r="X8" i="388" l="1"/>
  <c r="T14" i="619"/>
  <c r="U14" i="619"/>
  <c r="V14" i="619"/>
  <c r="S14" i="619"/>
  <c r="T8" i="619"/>
  <c r="R14" i="620"/>
  <c r="S14" i="620"/>
  <c r="Q14" i="620"/>
  <c r="R8" i="620"/>
  <c r="I5" i="619"/>
  <c r="F5" i="619"/>
  <c r="F6" i="619"/>
  <c r="F7" i="619"/>
  <c r="F8" i="619"/>
  <c r="F9" i="619"/>
  <c r="F10" i="619"/>
  <c r="F11" i="619"/>
  <c r="F12" i="619"/>
  <c r="F13" i="619"/>
  <c r="F14" i="619"/>
  <c r="F15" i="619"/>
  <c r="F16" i="619"/>
  <c r="F17" i="619"/>
  <c r="F18" i="619"/>
  <c r="F19" i="619"/>
  <c r="F4" i="619"/>
  <c r="F20" i="619" l="1"/>
  <c r="B20" i="619"/>
  <c r="N4" i="619" s="1"/>
  <c r="C20" i="619"/>
  <c r="O4" i="619" s="1"/>
  <c r="D20" i="619"/>
  <c r="P4" i="619" s="1"/>
  <c r="A20" i="619"/>
  <c r="D94" i="620"/>
  <c r="C94" i="620"/>
  <c r="E93" i="620"/>
  <c r="E92" i="620"/>
  <c r="E91" i="620"/>
  <c r="E90" i="620"/>
  <c r="E89" i="620"/>
  <c r="E88" i="620"/>
  <c r="E87" i="620"/>
  <c r="E86" i="620"/>
  <c r="E85" i="620"/>
  <c r="E84" i="620"/>
  <c r="E83" i="620"/>
  <c r="E82" i="620"/>
  <c r="E81" i="620"/>
  <c r="E80" i="620"/>
  <c r="E79" i="620"/>
  <c r="E78" i="620"/>
  <c r="E77" i="620"/>
  <c r="E76" i="620"/>
  <c r="H75" i="620"/>
  <c r="E75" i="620"/>
  <c r="A75" i="620"/>
  <c r="A76" i="620" s="1"/>
  <c r="A77" i="620" s="1"/>
  <c r="A78" i="620" s="1"/>
  <c r="A79" i="620" s="1"/>
  <c r="A80" i="620" s="1"/>
  <c r="A81" i="620" s="1"/>
  <c r="A82" i="620" s="1"/>
  <c r="A83" i="620" s="1"/>
  <c r="A84" i="620" s="1"/>
  <c r="A85" i="620" s="1"/>
  <c r="A86" i="620" s="1"/>
  <c r="A87" i="620" s="1"/>
  <c r="A88" i="620" s="1"/>
  <c r="A89" i="620" s="1"/>
  <c r="A90" i="620" s="1"/>
  <c r="A91" i="620" s="1"/>
  <c r="A92" i="620" s="1"/>
  <c r="A93" i="620" s="1"/>
  <c r="H74" i="620"/>
  <c r="H76" i="620" s="1"/>
  <c r="E74" i="620"/>
  <c r="D71" i="620"/>
  <c r="B71" i="620"/>
  <c r="E70" i="620"/>
  <c r="E69" i="620"/>
  <c r="E68" i="620"/>
  <c r="E67" i="620"/>
  <c r="E66" i="620"/>
  <c r="E65" i="620"/>
  <c r="E64" i="620"/>
  <c r="E63" i="620"/>
  <c r="E62" i="620"/>
  <c r="E61" i="620"/>
  <c r="E60" i="620"/>
  <c r="E59" i="620"/>
  <c r="E58" i="620"/>
  <c r="E57" i="620"/>
  <c r="E56" i="620"/>
  <c r="E55" i="620"/>
  <c r="E54" i="620"/>
  <c r="E53" i="620"/>
  <c r="H52" i="620"/>
  <c r="E52" i="620"/>
  <c r="A52" i="620"/>
  <c r="A53" i="620" s="1"/>
  <c r="A54" i="620" s="1"/>
  <c r="A55" i="620" s="1"/>
  <c r="A56" i="620" s="1"/>
  <c r="A57" i="620" s="1"/>
  <c r="A58" i="620" s="1"/>
  <c r="A59" i="620" s="1"/>
  <c r="A60" i="620" s="1"/>
  <c r="A61" i="620" s="1"/>
  <c r="A62" i="620" s="1"/>
  <c r="A63" i="620" s="1"/>
  <c r="A64" i="620" s="1"/>
  <c r="A65" i="620" s="1"/>
  <c r="A66" i="620" s="1"/>
  <c r="A67" i="620" s="1"/>
  <c r="A68" i="620" s="1"/>
  <c r="A69" i="620" s="1"/>
  <c r="A70" i="620" s="1"/>
  <c r="H51" i="620"/>
  <c r="H53" i="620" s="1"/>
  <c r="E51" i="620"/>
  <c r="C48" i="620"/>
  <c r="B48" i="620"/>
  <c r="E47" i="620"/>
  <c r="E46" i="620"/>
  <c r="E45" i="620"/>
  <c r="E44" i="620"/>
  <c r="E43" i="620"/>
  <c r="E42" i="620"/>
  <c r="E41" i="620"/>
  <c r="E40" i="620"/>
  <c r="E39" i="620"/>
  <c r="E38" i="620"/>
  <c r="E37" i="620"/>
  <c r="E36" i="620"/>
  <c r="E35" i="620"/>
  <c r="E34" i="620"/>
  <c r="E33" i="620"/>
  <c r="E32" i="620"/>
  <c r="E31" i="620"/>
  <c r="E30" i="620"/>
  <c r="H29" i="620"/>
  <c r="E29" i="620"/>
  <c r="A29" i="620"/>
  <c r="A30" i="620" s="1"/>
  <c r="A31" i="620" s="1"/>
  <c r="A32" i="620" s="1"/>
  <c r="A33" i="620" s="1"/>
  <c r="A34" i="620" s="1"/>
  <c r="A35" i="620" s="1"/>
  <c r="A36" i="620" s="1"/>
  <c r="A37" i="620" s="1"/>
  <c r="A38" i="620" s="1"/>
  <c r="A39" i="620" s="1"/>
  <c r="A40" i="620" s="1"/>
  <c r="A41" i="620" s="1"/>
  <c r="A42" i="620" s="1"/>
  <c r="A43" i="620" s="1"/>
  <c r="A44" i="620" s="1"/>
  <c r="A45" i="620" s="1"/>
  <c r="A46" i="620" s="1"/>
  <c r="A47" i="620" s="1"/>
  <c r="H28" i="620"/>
  <c r="H30" i="620" s="1"/>
  <c r="E28" i="620"/>
  <c r="D24" i="620"/>
  <c r="C24" i="620"/>
  <c r="B24" i="620"/>
  <c r="E23" i="620"/>
  <c r="E22" i="620"/>
  <c r="E21" i="620"/>
  <c r="E20" i="620"/>
  <c r="E19" i="620"/>
  <c r="E18" i="620"/>
  <c r="E17" i="620"/>
  <c r="E16" i="620"/>
  <c r="E15" i="620"/>
  <c r="E14" i="620"/>
  <c r="E13" i="620"/>
  <c r="E12" i="620"/>
  <c r="E11" i="620"/>
  <c r="E10" i="620"/>
  <c r="E9" i="620"/>
  <c r="E8" i="620"/>
  <c r="E7" i="620"/>
  <c r="E6" i="620"/>
  <c r="H5" i="620"/>
  <c r="E5" i="620"/>
  <c r="A5" i="620"/>
  <c r="A6" i="620" s="1"/>
  <c r="A7" i="620" s="1"/>
  <c r="A8" i="620" s="1"/>
  <c r="A9" i="620" s="1"/>
  <c r="A10" i="620" s="1"/>
  <c r="A11" i="620" s="1"/>
  <c r="A12" i="620" s="1"/>
  <c r="A13" i="620" s="1"/>
  <c r="A14" i="620" s="1"/>
  <c r="A15" i="620" s="1"/>
  <c r="A16" i="620" s="1"/>
  <c r="A17" i="620" s="1"/>
  <c r="A18" i="620" s="1"/>
  <c r="A19" i="620" s="1"/>
  <c r="A20" i="620" s="1"/>
  <c r="A21" i="620" s="1"/>
  <c r="A22" i="620" s="1"/>
  <c r="A23" i="620" s="1"/>
  <c r="H4" i="620"/>
  <c r="H6" i="620" s="1"/>
  <c r="E4" i="620"/>
  <c r="I4" i="619"/>
  <c r="I6" i="619" s="1"/>
  <c r="E48" i="620" l="1"/>
  <c r="H31" i="620" s="1"/>
  <c r="H33" i="620" s="1"/>
  <c r="H35" i="620" s="1"/>
  <c r="E94" i="620"/>
  <c r="H77" i="620" s="1"/>
  <c r="H79" i="620" s="1"/>
  <c r="H81" i="620" s="1"/>
  <c r="E71" i="620"/>
  <c r="H54" i="620" s="1"/>
  <c r="H56" i="620" s="1"/>
  <c r="H58" i="620" s="1"/>
  <c r="E24" i="620"/>
  <c r="H7" i="620" s="1"/>
  <c r="H9" i="620" s="1"/>
  <c r="H11" i="620" s="1"/>
  <c r="L4" i="620"/>
  <c r="M4" i="619"/>
  <c r="E20" i="619"/>
  <c r="I7" i="619" s="1"/>
  <c r="I9" i="619" s="1"/>
  <c r="I11" i="619" s="1"/>
  <c r="M4" i="620"/>
  <c r="N4" i="620"/>
  <c r="I10" i="619"/>
  <c r="H34" i="620"/>
  <c r="H80" i="620"/>
  <c r="H10" i="620"/>
  <c r="H57" i="620"/>
  <c r="J24" i="601" l="1"/>
  <c r="O11" i="601" s="1"/>
  <c r="H24" i="601"/>
  <c r="I24" i="601"/>
  <c r="G24" i="601"/>
  <c r="J23" i="601"/>
  <c r="H23" i="601"/>
  <c r="I23" i="601"/>
  <c r="G23" i="601"/>
  <c r="F23" i="601"/>
  <c r="J22" i="601"/>
  <c r="H22" i="601"/>
  <c r="I22" i="601"/>
  <c r="G22" i="601"/>
  <c r="F22" i="601"/>
  <c r="J21" i="601"/>
  <c r="H21" i="601"/>
  <c r="I21" i="601"/>
  <c r="G21" i="601"/>
  <c r="F21" i="601"/>
  <c r="H20" i="601"/>
  <c r="I20" i="601"/>
  <c r="G20" i="601"/>
  <c r="J17" i="601"/>
  <c r="H17" i="601"/>
  <c r="I17" i="601"/>
  <c r="G17" i="601"/>
  <c r="J16" i="601"/>
  <c r="H16" i="601"/>
  <c r="I16" i="601"/>
  <c r="G16" i="601"/>
  <c r="F16" i="601"/>
  <c r="J15" i="601"/>
  <c r="H15" i="601"/>
  <c r="I15" i="601"/>
  <c r="G15" i="601"/>
  <c r="F15" i="601"/>
  <c r="J14" i="601"/>
  <c r="H14" i="601"/>
  <c r="I14" i="601"/>
  <c r="G14" i="601"/>
  <c r="F14" i="601"/>
  <c r="H13" i="601"/>
  <c r="I13" i="601"/>
  <c r="G13" i="601"/>
  <c r="J10" i="601"/>
  <c r="N11" i="601" s="1"/>
  <c r="N20" i="601" s="1"/>
  <c r="H10" i="601"/>
  <c r="I10" i="601"/>
  <c r="G10" i="601"/>
  <c r="J9" i="601"/>
  <c r="H9" i="601"/>
  <c r="I9" i="601"/>
  <c r="G9" i="601"/>
  <c r="F9" i="601"/>
  <c r="J8" i="601"/>
  <c r="H8" i="601"/>
  <c r="I8" i="601"/>
  <c r="G8" i="601"/>
  <c r="F8" i="601"/>
  <c r="J7" i="601"/>
  <c r="H7" i="601"/>
  <c r="I7" i="601"/>
  <c r="G7" i="601"/>
  <c r="F7" i="601"/>
  <c r="H6" i="601"/>
  <c r="I6" i="601"/>
  <c r="G6" i="601"/>
  <c r="H41" i="592"/>
  <c r="G41" i="592"/>
  <c r="K35" i="592"/>
  <c r="J35" i="592"/>
  <c r="I35" i="592"/>
  <c r="H35" i="592"/>
  <c r="G35" i="592"/>
  <c r="F35" i="592"/>
  <c r="K34" i="592"/>
  <c r="J34" i="592"/>
  <c r="I34" i="592"/>
  <c r="H34" i="592"/>
  <c r="G34" i="592"/>
  <c r="F34" i="592"/>
  <c r="K33" i="592"/>
  <c r="J33" i="592"/>
  <c r="I33" i="592"/>
  <c r="H33" i="592"/>
  <c r="G33" i="592"/>
  <c r="F33" i="592"/>
  <c r="Y47" i="592"/>
  <c r="Y48" i="592"/>
  <c r="Y49" i="592"/>
  <c r="Y50" i="592"/>
  <c r="Y46" i="592"/>
  <c r="X47" i="592"/>
  <c r="X48" i="592"/>
  <c r="X49" i="592"/>
  <c r="X50" i="592"/>
  <c r="X46" i="592"/>
  <c r="W47" i="592"/>
  <c r="W48" i="592"/>
  <c r="W49" i="592"/>
  <c r="W50" i="592"/>
  <c r="W46" i="592"/>
  <c r="Y42" i="592"/>
  <c r="Y43" i="592"/>
  <c r="Y44" i="592"/>
  <c r="Y45" i="592"/>
  <c r="Y41" i="592"/>
  <c r="X42" i="592"/>
  <c r="X43" i="592"/>
  <c r="X44" i="592"/>
  <c r="X45" i="592"/>
  <c r="X41" i="592"/>
  <c r="W42" i="592"/>
  <c r="W43" i="592"/>
  <c r="W44" i="592"/>
  <c r="W45" i="592"/>
  <c r="W41" i="592"/>
  <c r="Y37" i="592"/>
  <c r="Y38" i="592"/>
  <c r="Y39" i="592"/>
  <c r="Y40" i="592"/>
  <c r="Y36" i="592"/>
  <c r="X37" i="592"/>
  <c r="X38" i="592"/>
  <c r="X39" i="592"/>
  <c r="X40" i="592"/>
  <c r="X36" i="592"/>
  <c r="W37" i="592"/>
  <c r="W38" i="592"/>
  <c r="W39" i="592"/>
  <c r="W40" i="592"/>
  <c r="W36" i="592"/>
  <c r="Y32" i="592"/>
  <c r="Y33" i="592"/>
  <c r="Y34" i="592"/>
  <c r="Y35" i="592"/>
  <c r="Y31" i="592"/>
  <c r="X32" i="592"/>
  <c r="X33" i="592"/>
  <c r="X34" i="592"/>
  <c r="X35" i="592"/>
  <c r="X31" i="592"/>
  <c r="W32" i="592"/>
  <c r="W33" i="592"/>
  <c r="W34" i="592"/>
  <c r="W35" i="592"/>
  <c r="W31" i="592"/>
  <c r="Y30" i="592"/>
  <c r="X30" i="592"/>
  <c r="W30" i="592"/>
  <c r="V46" i="592"/>
  <c r="V41" i="592"/>
  <c r="V36" i="592"/>
  <c r="V31" i="592"/>
  <c r="L22" i="600"/>
  <c r="Q9" i="600" s="1"/>
  <c r="I22" i="600"/>
  <c r="J22" i="600"/>
  <c r="K22" i="600"/>
  <c r="H22" i="600"/>
  <c r="L21" i="600"/>
  <c r="I21" i="600"/>
  <c r="J21" i="600"/>
  <c r="K21" i="600"/>
  <c r="H21" i="600"/>
  <c r="G21" i="600"/>
  <c r="L20" i="600"/>
  <c r="I20" i="600"/>
  <c r="J20" i="600"/>
  <c r="K20" i="600"/>
  <c r="H20" i="600"/>
  <c r="G20" i="600"/>
  <c r="L19" i="600"/>
  <c r="I19" i="600"/>
  <c r="J19" i="600"/>
  <c r="K19" i="600"/>
  <c r="H19" i="600"/>
  <c r="G19" i="600"/>
  <c r="I18" i="600"/>
  <c r="J18" i="600"/>
  <c r="K18" i="600"/>
  <c r="H18" i="600"/>
  <c r="L15" i="600"/>
  <c r="I15" i="600"/>
  <c r="J15" i="600"/>
  <c r="K15" i="600"/>
  <c r="H15" i="600"/>
  <c r="L14" i="600"/>
  <c r="I14" i="600"/>
  <c r="J14" i="600"/>
  <c r="K14" i="600"/>
  <c r="H14" i="600"/>
  <c r="G14" i="600"/>
  <c r="L13" i="600"/>
  <c r="I13" i="600"/>
  <c r="J13" i="600"/>
  <c r="K13" i="600"/>
  <c r="H13" i="600"/>
  <c r="G13" i="600"/>
  <c r="L12" i="600"/>
  <c r="I12" i="600"/>
  <c r="J12" i="600"/>
  <c r="K12" i="600"/>
  <c r="H12" i="600"/>
  <c r="G12" i="600"/>
  <c r="I11" i="600"/>
  <c r="J11" i="600"/>
  <c r="K11" i="600"/>
  <c r="H11" i="600"/>
  <c r="L8" i="600"/>
  <c r="P9" i="600" s="1"/>
  <c r="I8" i="600"/>
  <c r="J8" i="600"/>
  <c r="K8" i="600"/>
  <c r="H8" i="600"/>
  <c r="L7" i="600"/>
  <c r="I7" i="600"/>
  <c r="J7" i="600"/>
  <c r="K7" i="600"/>
  <c r="H7" i="600"/>
  <c r="G7" i="600"/>
  <c r="L6" i="600"/>
  <c r="I6" i="600"/>
  <c r="J6" i="600"/>
  <c r="K6" i="600"/>
  <c r="H6" i="600"/>
  <c r="G6" i="600"/>
  <c r="L5" i="600"/>
  <c r="I5" i="600"/>
  <c r="J5" i="600"/>
  <c r="K5" i="600"/>
  <c r="H5" i="600"/>
  <c r="G5" i="600"/>
  <c r="I4" i="600"/>
  <c r="J4" i="600"/>
  <c r="K4" i="600"/>
  <c r="H4" i="600"/>
  <c r="I41" i="592" l="1"/>
  <c r="M8" i="601"/>
  <c r="M10" i="601"/>
  <c r="M19" i="601" s="1"/>
  <c r="P5" i="600"/>
  <c r="N8" i="601"/>
  <c r="G40" i="592"/>
  <c r="G39" i="592" s="1"/>
  <c r="M7" i="601"/>
  <c r="O5" i="600"/>
  <c r="Q5" i="600" s="1"/>
  <c r="N7" i="601"/>
  <c r="N9" i="601" s="1"/>
  <c r="N10" i="601" s="1"/>
  <c r="P6" i="600"/>
  <c r="O8" i="600"/>
  <c r="O6" i="600"/>
  <c r="H39" i="592"/>
  <c r="H40" i="592" s="1"/>
  <c r="H3" i="600"/>
  <c r="G5" i="601"/>
  <c r="M11" i="601"/>
  <c r="O9" i="600"/>
  <c r="I40" i="592" l="1"/>
  <c r="L34" i="592" s="1"/>
  <c r="N34" i="592" s="1"/>
  <c r="O8" i="601"/>
  <c r="I39" i="592"/>
  <c r="J39" i="592" s="1"/>
  <c r="K39" i="592" s="1"/>
  <c r="O7" i="601"/>
  <c r="M17" i="601"/>
  <c r="P7" i="600"/>
  <c r="P8" i="600" s="1"/>
  <c r="Q8" i="600" s="1"/>
  <c r="N39" i="592"/>
  <c r="Q6" i="600"/>
  <c r="N17" i="601"/>
  <c r="O7" i="600"/>
  <c r="L39" i="592"/>
  <c r="N19" i="601"/>
  <c r="O19" i="601" s="1"/>
  <c r="O10" i="601"/>
  <c r="N18" i="601"/>
  <c r="M9" i="601"/>
  <c r="M20" i="601"/>
  <c r="O20" i="601" s="1"/>
  <c r="L35" i="592" l="1"/>
  <c r="N35" i="592" s="1"/>
  <c r="M34" i="592"/>
  <c r="M39" i="592"/>
  <c r="P8" i="601"/>
  <c r="Q8" i="601" s="1"/>
  <c r="R8" i="601" s="1"/>
  <c r="L33" i="592"/>
  <c r="M33" i="592" s="1"/>
  <c r="Q7" i="600"/>
  <c r="R6" i="600" s="1"/>
  <c r="S6" i="600" s="1"/>
  <c r="T6" i="600" s="1"/>
  <c r="O17" i="601"/>
  <c r="O9" i="601"/>
  <c r="P9" i="601" s="1"/>
  <c r="Q9" i="601" s="1"/>
  <c r="R9" i="601" s="1"/>
  <c r="M18" i="601"/>
  <c r="O18" i="601" s="1"/>
  <c r="P18" i="601" s="1"/>
  <c r="Q18" i="601" s="1"/>
  <c r="R18" i="601" s="1"/>
  <c r="P7" i="601"/>
  <c r="Q7" i="601" s="1"/>
  <c r="R7" i="601" s="1"/>
  <c r="J24" i="599"/>
  <c r="O10" i="599" s="1"/>
  <c r="H24" i="599"/>
  <c r="I24" i="599"/>
  <c r="G24" i="599"/>
  <c r="J23" i="599"/>
  <c r="H23" i="599"/>
  <c r="I23" i="599"/>
  <c r="G23" i="599"/>
  <c r="F23" i="599"/>
  <c r="J22" i="599"/>
  <c r="H22" i="599"/>
  <c r="I22" i="599"/>
  <c r="G22" i="599"/>
  <c r="F22" i="599"/>
  <c r="J21" i="599"/>
  <c r="H21" i="599"/>
  <c r="I21" i="599"/>
  <c r="G21" i="599"/>
  <c r="F21" i="599"/>
  <c r="H20" i="599"/>
  <c r="I20" i="599"/>
  <c r="G20" i="599"/>
  <c r="J17" i="599"/>
  <c r="H17" i="599"/>
  <c r="I17" i="599"/>
  <c r="G17" i="599"/>
  <c r="J16" i="599"/>
  <c r="H16" i="599"/>
  <c r="I16" i="599"/>
  <c r="G16" i="599"/>
  <c r="F16" i="599"/>
  <c r="J15" i="599"/>
  <c r="H15" i="599"/>
  <c r="I15" i="599"/>
  <c r="G15" i="599"/>
  <c r="F15" i="599"/>
  <c r="J14" i="599"/>
  <c r="H14" i="599"/>
  <c r="I14" i="599"/>
  <c r="G14" i="599"/>
  <c r="F14" i="599"/>
  <c r="H13" i="599"/>
  <c r="I13" i="599"/>
  <c r="G13" i="599"/>
  <c r="J10" i="599"/>
  <c r="N10" i="599" s="1"/>
  <c r="H10" i="599"/>
  <c r="I10" i="599"/>
  <c r="G10" i="599"/>
  <c r="J9" i="599"/>
  <c r="H9" i="599"/>
  <c r="I9" i="599"/>
  <c r="G9" i="599"/>
  <c r="F9" i="599"/>
  <c r="J8" i="599"/>
  <c r="H8" i="599"/>
  <c r="I8" i="599"/>
  <c r="G8" i="599"/>
  <c r="F8" i="599"/>
  <c r="J7" i="599"/>
  <c r="H7" i="599"/>
  <c r="I7" i="599"/>
  <c r="G7" i="599"/>
  <c r="F7" i="599"/>
  <c r="H6" i="599"/>
  <c r="I6" i="599"/>
  <c r="G6" i="599"/>
  <c r="N33" i="592" l="1"/>
  <c r="R7" i="600"/>
  <c r="S7" i="600" s="1"/>
  <c r="T7" i="600" s="1"/>
  <c r="M35" i="592"/>
  <c r="R5" i="600"/>
  <c r="S5" i="600" s="1"/>
  <c r="T5" i="600" s="1"/>
  <c r="N7" i="599"/>
  <c r="N8" i="599" s="1"/>
  <c r="M7" i="599"/>
  <c r="G5" i="599"/>
  <c r="M10" i="599"/>
  <c r="M9" i="599"/>
  <c r="P17" i="601"/>
  <c r="N9" i="599" l="1"/>
  <c r="O9" i="599" s="1"/>
  <c r="M8" i="599"/>
  <c r="O8" i="599" s="1"/>
  <c r="O7" i="599"/>
  <c r="Q17" i="601"/>
  <c r="R17" i="601" s="1"/>
  <c r="P7" i="599" l="1"/>
  <c r="Q7" i="599" s="1"/>
  <c r="R7" i="599" s="1"/>
  <c r="P8" i="599"/>
  <c r="Q8" i="599" s="1"/>
  <c r="R8" i="599" s="1"/>
  <c r="S6" i="595" l="1"/>
  <c r="T6" i="595"/>
  <c r="U6" i="595"/>
  <c r="V6" i="595"/>
  <c r="R6" i="595"/>
  <c r="H23" i="595"/>
  <c r="I15" i="595"/>
  <c r="H15" i="595"/>
  <c r="L9" i="595"/>
  <c r="K9" i="595"/>
  <c r="J9" i="595"/>
  <c r="I9" i="595"/>
  <c r="H9" i="595"/>
  <c r="G9" i="595"/>
  <c r="L8" i="595"/>
  <c r="K8" i="595"/>
  <c r="J8" i="595"/>
  <c r="I8" i="595"/>
  <c r="H8" i="595"/>
  <c r="G8" i="595"/>
  <c r="L7" i="595"/>
  <c r="K7" i="595"/>
  <c r="J7" i="595"/>
  <c r="I7" i="595"/>
  <c r="H7" i="595"/>
  <c r="G7" i="595"/>
  <c r="L6" i="595"/>
  <c r="K6" i="595"/>
  <c r="J6" i="595"/>
  <c r="I6" i="595"/>
  <c r="H6" i="595"/>
  <c r="G6" i="595"/>
  <c r="L5" i="595"/>
  <c r="K5" i="595"/>
  <c r="J5" i="595"/>
  <c r="I5" i="595"/>
  <c r="H5" i="595"/>
  <c r="G5" i="595"/>
  <c r="I13" i="595" l="1"/>
  <c r="J23" i="595" s="1"/>
  <c r="H14" i="595"/>
  <c r="H13" i="595" s="1"/>
  <c r="J15" i="595"/>
  <c r="J17" i="594"/>
  <c r="I17" i="594"/>
  <c r="H17" i="594"/>
  <c r="G17" i="594"/>
  <c r="E17" i="594"/>
  <c r="D17" i="594"/>
  <c r="C17" i="594"/>
  <c r="B17" i="594"/>
  <c r="J16" i="594"/>
  <c r="I16" i="594"/>
  <c r="H16" i="594"/>
  <c r="G16" i="594"/>
  <c r="E16" i="594"/>
  <c r="D16" i="594"/>
  <c r="C16" i="594"/>
  <c r="B16" i="594"/>
  <c r="V10" i="595" l="1"/>
  <c r="R9" i="620"/>
  <c r="R10" i="620" s="1"/>
  <c r="X9" i="388"/>
  <c r="X10" i="388" s="1"/>
  <c r="S10" i="595"/>
  <c r="U10" i="595"/>
  <c r="T9" i="619"/>
  <c r="T10" i="619" s="1"/>
  <c r="T10" i="595"/>
  <c r="J22" i="597"/>
  <c r="M20" i="597"/>
  <c r="N16" i="597"/>
  <c r="J16" i="597"/>
  <c r="L14" i="597"/>
  <c r="K14" i="597"/>
  <c r="L15" i="597"/>
  <c r="L20" i="597"/>
  <c r="M21" i="597"/>
  <c r="L23" i="597"/>
  <c r="M15" i="597"/>
  <c r="J7" i="597"/>
  <c r="N22" i="597"/>
  <c r="K20" i="597"/>
  <c r="R10" i="595"/>
  <c r="L6" i="597"/>
  <c r="I14" i="595"/>
  <c r="I20" i="595" s="1"/>
  <c r="J13" i="595"/>
  <c r="I23" i="595" s="1"/>
  <c r="M22" i="597" l="1"/>
  <c r="J14" i="597"/>
  <c r="J21" i="597"/>
  <c r="J8" i="597"/>
  <c r="L7" i="597"/>
  <c r="M9" i="597"/>
  <c r="K8" i="597"/>
  <c r="L17" i="597"/>
  <c r="J15" i="597"/>
  <c r="L22" i="597"/>
  <c r="J9" i="597"/>
  <c r="L13" i="597"/>
  <c r="M8" i="597"/>
  <c r="L24" i="597"/>
  <c r="J23" i="597"/>
  <c r="L21" i="597"/>
  <c r="M6" i="597"/>
  <c r="M17" i="597"/>
  <c r="K6" i="597"/>
  <c r="M14" i="597"/>
  <c r="M13" i="597"/>
  <c r="N14" i="597"/>
  <c r="N10" i="597"/>
  <c r="R10" i="597" s="1"/>
  <c r="L10" i="597"/>
  <c r="K7" i="597"/>
  <c r="M7" i="597"/>
  <c r="K15" i="597"/>
  <c r="K23" i="597"/>
  <c r="M23" i="597"/>
  <c r="L9" i="597"/>
  <c r="K13" i="597"/>
  <c r="N23" i="597"/>
  <c r="M16" i="597"/>
  <c r="K10" i="597"/>
  <c r="N7" i="597"/>
  <c r="K21" i="597"/>
  <c r="M10" i="597"/>
  <c r="L16" i="597"/>
  <c r="N8" i="597"/>
  <c r="N15" i="597"/>
  <c r="K16" i="597"/>
  <c r="N9" i="597"/>
  <c r="K17" i="597"/>
  <c r="K24" i="597"/>
  <c r="N24" i="597"/>
  <c r="S10" i="597" s="1"/>
  <c r="M24" i="597"/>
  <c r="K22" i="597"/>
  <c r="K9" i="597"/>
  <c r="N21" i="597"/>
  <c r="N17" i="597"/>
  <c r="L8" i="597"/>
  <c r="M13" i="595"/>
  <c r="J14" i="595"/>
  <c r="K13" i="595" s="1"/>
  <c r="L13" i="595" s="1"/>
  <c r="Q10" i="597" l="1"/>
  <c r="Q9" i="597"/>
  <c r="R7" i="597"/>
  <c r="R8" i="597" s="1"/>
  <c r="R9" i="597" s="1"/>
  <c r="K5" i="597"/>
  <c r="Q7" i="597"/>
  <c r="M6" i="595"/>
  <c r="N6" i="595" s="1"/>
  <c r="O13" i="595"/>
  <c r="M7" i="595"/>
  <c r="O7" i="595" s="1"/>
  <c r="M9" i="595"/>
  <c r="N9" i="595" s="1"/>
  <c r="N13" i="595"/>
  <c r="M5" i="595"/>
  <c r="O5" i="595" s="1"/>
  <c r="H19" i="595"/>
  <c r="M8" i="595"/>
  <c r="O8" i="595" s="1"/>
  <c r="H20" i="595"/>
  <c r="M20" i="595" s="1"/>
  <c r="O6" i="595"/>
  <c r="S9" i="597" l="1"/>
  <c r="S7" i="597"/>
  <c r="Q8" i="597"/>
  <c r="S8" i="597" s="1"/>
  <c r="N7" i="595"/>
  <c r="L20" i="595"/>
  <c r="O9" i="595"/>
  <c r="N5" i="595"/>
  <c r="I19" i="595"/>
  <c r="N8" i="595"/>
  <c r="L24" i="592"/>
  <c r="Q11" i="592" s="1"/>
  <c r="I24" i="592"/>
  <c r="J24" i="592"/>
  <c r="K24" i="592"/>
  <c r="H24" i="592"/>
  <c r="L23" i="592"/>
  <c r="I23" i="592"/>
  <c r="J23" i="592"/>
  <c r="K23" i="592"/>
  <c r="H23" i="592"/>
  <c r="G23" i="592"/>
  <c r="L22" i="592"/>
  <c r="I22" i="592"/>
  <c r="J22" i="592"/>
  <c r="K22" i="592"/>
  <c r="H22" i="592"/>
  <c r="G22" i="592"/>
  <c r="L21" i="592"/>
  <c r="I21" i="592"/>
  <c r="J21" i="592"/>
  <c r="K21" i="592"/>
  <c r="H21" i="592"/>
  <c r="G21" i="592"/>
  <c r="I20" i="592"/>
  <c r="J20" i="592"/>
  <c r="K20" i="592"/>
  <c r="H20" i="592"/>
  <c r="L17" i="592"/>
  <c r="I17" i="592"/>
  <c r="J17" i="592"/>
  <c r="K17" i="592"/>
  <c r="H17" i="592"/>
  <c r="L16" i="592"/>
  <c r="I16" i="592"/>
  <c r="J16" i="592"/>
  <c r="K16" i="592"/>
  <c r="H16" i="592"/>
  <c r="G16" i="592"/>
  <c r="L15" i="592"/>
  <c r="I15" i="592"/>
  <c r="J15" i="592"/>
  <c r="K15" i="592"/>
  <c r="H15" i="592"/>
  <c r="G15" i="592"/>
  <c r="L14" i="592"/>
  <c r="I14" i="592"/>
  <c r="J14" i="592"/>
  <c r="K14" i="592"/>
  <c r="H14" i="592"/>
  <c r="G14" i="592"/>
  <c r="I13" i="592"/>
  <c r="J13" i="592"/>
  <c r="K13" i="592"/>
  <c r="H13" i="592"/>
  <c r="L10" i="592"/>
  <c r="P11" i="592" s="1"/>
  <c r="P21" i="592" s="1"/>
  <c r="I10" i="592"/>
  <c r="J10" i="592"/>
  <c r="K10" i="592"/>
  <c r="H10" i="592"/>
  <c r="L9" i="592"/>
  <c r="I9" i="592"/>
  <c r="J9" i="592"/>
  <c r="K9" i="592"/>
  <c r="H9" i="592"/>
  <c r="G9" i="592"/>
  <c r="L8" i="592"/>
  <c r="I8" i="592"/>
  <c r="J8" i="592"/>
  <c r="K8" i="592"/>
  <c r="H8" i="592"/>
  <c r="G8" i="592"/>
  <c r="L7" i="592"/>
  <c r="I7" i="592"/>
  <c r="J7" i="592"/>
  <c r="K7" i="592"/>
  <c r="H7" i="592"/>
  <c r="G7" i="592"/>
  <c r="I6" i="592"/>
  <c r="J6" i="592"/>
  <c r="K6" i="592"/>
  <c r="H6" i="592"/>
  <c r="AE10" i="592"/>
  <c r="AF10" i="592"/>
  <c r="AG10" i="592"/>
  <c r="T8" i="597" l="1"/>
  <c r="U8" i="597" s="1"/>
  <c r="V8" i="597" s="1"/>
  <c r="T7" i="597"/>
  <c r="U7" i="597" s="1"/>
  <c r="V7" i="597" s="1"/>
  <c r="L19" i="595"/>
  <c r="M19" i="595"/>
  <c r="L23" i="595"/>
  <c r="K23" i="595"/>
  <c r="H5" i="592"/>
  <c r="O8" i="592"/>
  <c r="O18" i="592" s="1"/>
  <c r="O10" i="592"/>
  <c r="O20" i="592" s="1"/>
  <c r="O7" i="592"/>
  <c r="O17" i="592" s="1"/>
  <c r="P7" i="592"/>
  <c r="P17" i="592" s="1"/>
  <c r="P8" i="592"/>
  <c r="P18" i="592" s="1"/>
  <c r="O11" i="592"/>
  <c r="O21" i="592" s="1"/>
  <c r="Q21" i="592" s="1"/>
  <c r="Q18" i="592" l="1"/>
  <c r="Q17" i="592"/>
  <c r="Q8" i="592"/>
  <c r="P9" i="592"/>
  <c r="P19" i="592" s="1"/>
  <c r="Q7" i="592"/>
  <c r="O9" i="592"/>
  <c r="O19" i="592" s="1"/>
  <c r="Q19" i="592" l="1"/>
  <c r="P10" i="592"/>
  <c r="Q9" i="592"/>
  <c r="Q10" i="592" l="1"/>
  <c r="R7" i="592" s="1"/>
  <c r="S7" i="592" s="1"/>
  <c r="T7" i="592" s="1"/>
  <c r="P20" i="592"/>
  <c r="Q20" i="592" s="1"/>
  <c r="R19" i="592" s="1"/>
  <c r="S19" i="592" s="1"/>
  <c r="T19" i="592" s="1"/>
  <c r="T18" i="592" l="1"/>
  <c r="R9" i="592"/>
  <c r="S9" i="592" s="1"/>
  <c r="T9" i="592" s="1"/>
  <c r="R8" i="592"/>
  <c r="S8" i="592" s="1"/>
  <c r="T8" i="592" s="1"/>
  <c r="T17" i="592"/>
  <c r="AD10" i="592"/>
  <c r="AC10" i="592"/>
  <c r="AB10" i="592"/>
  <c r="AA10" i="592"/>
  <c r="Z10" i="592"/>
  <c r="Y10" i="592"/>
  <c r="X10" i="592"/>
  <c r="W10" i="592"/>
  <c r="V10" i="592"/>
  <c r="O9" i="591"/>
  <c r="O8" i="591"/>
  <c r="O7" i="591"/>
  <c r="C15" i="591"/>
  <c r="I15" i="591"/>
  <c r="D15" i="591"/>
  <c r="H15" i="591"/>
  <c r="G15" i="591"/>
  <c r="B15" i="591"/>
  <c r="E15" i="591"/>
  <c r="F15" i="591"/>
  <c r="A15" i="591"/>
  <c r="N24" i="590"/>
  <c r="S14" i="590" s="1"/>
  <c r="J24" i="590"/>
  <c r="K24" i="590"/>
  <c r="L24" i="590"/>
  <c r="M24" i="590"/>
  <c r="I24" i="590"/>
  <c r="N23" i="590"/>
  <c r="J23" i="590"/>
  <c r="K23" i="590"/>
  <c r="L23" i="590"/>
  <c r="M23" i="590"/>
  <c r="I23" i="590"/>
  <c r="H23" i="590"/>
  <c r="N22" i="590"/>
  <c r="J22" i="590"/>
  <c r="K22" i="590"/>
  <c r="L22" i="590"/>
  <c r="M22" i="590"/>
  <c r="I22" i="590"/>
  <c r="H22" i="590"/>
  <c r="N21" i="590"/>
  <c r="J21" i="590"/>
  <c r="K21" i="590"/>
  <c r="L21" i="590"/>
  <c r="M21" i="590"/>
  <c r="I21" i="590"/>
  <c r="H21" i="590"/>
  <c r="J20" i="590"/>
  <c r="K20" i="590"/>
  <c r="L20" i="590"/>
  <c r="M20" i="590"/>
  <c r="I20" i="590"/>
  <c r="N17" i="590"/>
  <c r="J17" i="590"/>
  <c r="K17" i="590"/>
  <c r="L17" i="590"/>
  <c r="M17" i="590"/>
  <c r="I17" i="590"/>
  <c r="N16" i="590"/>
  <c r="J16" i="590"/>
  <c r="K16" i="590"/>
  <c r="L16" i="590"/>
  <c r="M16" i="590"/>
  <c r="I16" i="590"/>
  <c r="H16" i="590"/>
  <c r="N15" i="590"/>
  <c r="J15" i="590"/>
  <c r="K15" i="590"/>
  <c r="L15" i="590"/>
  <c r="M15" i="590"/>
  <c r="I15" i="590"/>
  <c r="H15" i="590"/>
  <c r="N14" i="590"/>
  <c r="J14" i="590"/>
  <c r="K14" i="590"/>
  <c r="L14" i="590"/>
  <c r="M14" i="590"/>
  <c r="I14" i="590"/>
  <c r="H14" i="590"/>
  <c r="J13" i="590"/>
  <c r="K13" i="590"/>
  <c r="L13" i="590"/>
  <c r="M13" i="590"/>
  <c r="I13" i="590"/>
  <c r="N10" i="590"/>
  <c r="R14" i="590" s="1"/>
  <c r="J10" i="590"/>
  <c r="K10" i="590"/>
  <c r="L10" i="590"/>
  <c r="M10" i="590"/>
  <c r="I10" i="590"/>
  <c r="R7" i="590" s="1"/>
  <c r="N9" i="590"/>
  <c r="J9" i="590"/>
  <c r="K9" i="590"/>
  <c r="L9" i="590"/>
  <c r="M9" i="590"/>
  <c r="I9" i="590"/>
  <c r="H9" i="590"/>
  <c r="N8" i="590"/>
  <c r="J8" i="590"/>
  <c r="K8" i="590"/>
  <c r="L8" i="590"/>
  <c r="M8" i="590"/>
  <c r="I8" i="590"/>
  <c r="H8" i="590"/>
  <c r="N7" i="590"/>
  <c r="J7" i="590"/>
  <c r="K7" i="590"/>
  <c r="L7" i="590"/>
  <c r="M7" i="590"/>
  <c r="I7" i="590"/>
  <c r="H7" i="590"/>
  <c r="J6" i="590"/>
  <c r="K6" i="590"/>
  <c r="L6" i="590"/>
  <c r="M6" i="590"/>
  <c r="I6" i="590"/>
  <c r="G6" i="589"/>
  <c r="H6" i="589"/>
  <c r="I6" i="589"/>
  <c r="J6" i="589"/>
  <c r="K6" i="589"/>
  <c r="H7" i="589"/>
  <c r="I7" i="589"/>
  <c r="J7" i="589"/>
  <c r="K7" i="589"/>
  <c r="H8" i="589"/>
  <c r="I8" i="589"/>
  <c r="J8" i="589"/>
  <c r="K8" i="589"/>
  <c r="H9" i="589"/>
  <c r="I9" i="589"/>
  <c r="J9" i="589"/>
  <c r="K9" i="589"/>
  <c r="H10" i="589"/>
  <c r="I10" i="589"/>
  <c r="J10" i="589"/>
  <c r="K10" i="589"/>
  <c r="H11" i="589"/>
  <c r="I11" i="589"/>
  <c r="J11" i="589"/>
  <c r="K11" i="589"/>
  <c r="H12" i="589"/>
  <c r="I12" i="589"/>
  <c r="J12" i="589"/>
  <c r="K12" i="589"/>
  <c r="H13" i="589"/>
  <c r="I13" i="589"/>
  <c r="J13" i="589"/>
  <c r="K13" i="589"/>
  <c r="H14" i="589"/>
  <c r="I14" i="589"/>
  <c r="J14" i="589"/>
  <c r="K14" i="589"/>
  <c r="H15" i="589"/>
  <c r="I15" i="589"/>
  <c r="J15" i="589"/>
  <c r="K15" i="589"/>
  <c r="H16" i="589"/>
  <c r="I16" i="589"/>
  <c r="J16" i="589"/>
  <c r="K16" i="589"/>
  <c r="H17" i="589"/>
  <c r="I17" i="589"/>
  <c r="J17" i="589"/>
  <c r="K17" i="589"/>
  <c r="H18" i="589"/>
  <c r="I18" i="589"/>
  <c r="J18" i="589"/>
  <c r="K18" i="589"/>
  <c r="H19" i="589"/>
  <c r="I19" i="589"/>
  <c r="J19" i="589"/>
  <c r="K19" i="589"/>
  <c r="H20" i="589"/>
  <c r="I20" i="589"/>
  <c r="J20" i="589"/>
  <c r="K20" i="589"/>
  <c r="H5" i="589"/>
  <c r="I5" i="589"/>
  <c r="J5" i="589"/>
  <c r="K5" i="589"/>
  <c r="G5" i="589"/>
  <c r="A5" i="589"/>
  <c r="A6" i="589" s="1"/>
  <c r="A7" i="589" s="1"/>
  <c r="A8" i="589" s="1"/>
  <c r="A9" i="589" s="1"/>
  <c r="A10" i="589" s="1"/>
  <c r="A11" i="589" s="1"/>
  <c r="A12" i="589" s="1"/>
  <c r="A13" i="589" s="1"/>
  <c r="A14" i="589" s="1"/>
  <c r="A15" i="589" s="1"/>
  <c r="A16" i="589" s="1"/>
  <c r="A17" i="589" s="1"/>
  <c r="A18" i="589" s="1"/>
  <c r="G20" i="589" s="1"/>
  <c r="Q8" i="590" l="1"/>
  <c r="K22" i="589"/>
  <c r="L20" i="589"/>
  <c r="L19" i="589"/>
  <c r="G13" i="589"/>
  <c r="L10" i="589"/>
  <c r="L18" i="589"/>
  <c r="L13" i="589"/>
  <c r="L12" i="589"/>
  <c r="L11" i="589"/>
  <c r="I22" i="589"/>
  <c r="L14" i="589"/>
  <c r="L9" i="589"/>
  <c r="G9" i="589"/>
  <c r="L8" i="589"/>
  <c r="L7" i="589"/>
  <c r="P5" i="589"/>
  <c r="R8" i="590"/>
  <c r="R11" i="590"/>
  <c r="L17" i="589"/>
  <c r="G17" i="589"/>
  <c r="L16" i="589"/>
  <c r="L15" i="589"/>
  <c r="J21" i="589"/>
  <c r="R10" i="590"/>
  <c r="Q14" i="590"/>
  <c r="G18" i="589"/>
  <c r="G14" i="589"/>
  <c r="G10" i="589"/>
  <c r="H21" i="589"/>
  <c r="I21" i="589"/>
  <c r="J22" i="589"/>
  <c r="Q13" i="591"/>
  <c r="L6" i="589"/>
  <c r="H22" i="589"/>
  <c r="G16" i="589"/>
  <c r="G12" i="589"/>
  <c r="G8" i="589"/>
  <c r="K21" i="589"/>
  <c r="P6" i="589"/>
  <c r="O8" i="589"/>
  <c r="I5" i="590"/>
  <c r="Q11" i="590"/>
  <c r="G19" i="589"/>
  <c r="G15" i="589"/>
  <c r="G11" i="589"/>
  <c r="G7" i="589"/>
  <c r="R9" i="590" l="1"/>
  <c r="V8" i="590" s="1"/>
  <c r="S8" i="590"/>
  <c r="R12" i="590"/>
  <c r="P8" i="589"/>
  <c r="P7" i="589" s="1"/>
  <c r="T5" i="589" s="1"/>
  <c r="O6" i="589"/>
  <c r="Q6" i="589" s="1"/>
  <c r="Q9" i="590"/>
  <c r="Q10" i="590"/>
  <c r="P17" i="589"/>
  <c r="O5" i="589"/>
  <c r="Q5" i="589" s="1"/>
  <c r="P12" i="589"/>
  <c r="Q25" i="590"/>
  <c r="Q19" i="590"/>
  <c r="S11" i="590"/>
  <c r="L22" i="589"/>
  <c r="L21" i="589"/>
  <c r="P15" i="591"/>
  <c r="R7" i="591"/>
  <c r="T7" i="591"/>
  <c r="Q7" i="591"/>
  <c r="P7" i="591"/>
  <c r="Q15" i="591"/>
  <c r="Q14" i="591" s="1"/>
  <c r="U13" i="591" s="1"/>
  <c r="S7" i="591"/>
  <c r="R9" i="591"/>
  <c r="Q9" i="591"/>
  <c r="T9" i="591"/>
  <c r="P9" i="591"/>
  <c r="S9" i="591"/>
  <c r="T8" i="591"/>
  <c r="P8" i="591"/>
  <c r="S8" i="591"/>
  <c r="R8" i="591"/>
  <c r="Q8" i="591"/>
  <c r="R19" i="590" l="1"/>
  <c r="S19" i="590" s="1"/>
  <c r="R25" i="590"/>
  <c r="S25" i="590" s="1"/>
  <c r="R26" i="590"/>
  <c r="P18" i="589"/>
  <c r="T17" i="589" s="1"/>
  <c r="R13" i="590"/>
  <c r="P13" i="589"/>
  <c r="T12" i="589" s="1"/>
  <c r="T6" i="589"/>
  <c r="R20" i="590"/>
  <c r="O12" i="589"/>
  <c r="Q12" i="589" s="1"/>
  <c r="O17" i="589"/>
  <c r="Q17" i="589" s="1"/>
  <c r="P14" i="591"/>
  <c r="R14" i="591" s="1"/>
  <c r="V13" i="591" s="1"/>
  <c r="O7" i="589"/>
  <c r="S9" i="590"/>
  <c r="T8" i="590" s="1"/>
  <c r="U8" i="590" s="1"/>
  <c r="Q13" i="590"/>
  <c r="Q12" i="590" s="1"/>
  <c r="R15" i="591"/>
  <c r="R21" i="590" l="1"/>
  <c r="R27" i="590"/>
  <c r="P13" i="591"/>
  <c r="R13" i="591" s="1"/>
  <c r="S13" i="591" s="1"/>
  <c r="T13" i="591" s="1"/>
  <c r="U7" i="591"/>
  <c r="W7" i="591" s="1"/>
  <c r="W13" i="591"/>
  <c r="U9" i="591"/>
  <c r="V9" i="591" s="1"/>
  <c r="U8" i="591"/>
  <c r="V8" i="591" s="1"/>
  <c r="S12" i="590"/>
  <c r="Q26" i="590"/>
  <c r="S26" i="590" s="1"/>
  <c r="Q20" i="590"/>
  <c r="S20" i="590" s="1"/>
  <c r="Q27" i="590"/>
  <c r="Q21" i="590"/>
  <c r="S13" i="590"/>
  <c r="T11" i="590" s="1"/>
  <c r="Q7" i="589"/>
  <c r="O18" i="589"/>
  <c r="Q18" i="589" s="1"/>
  <c r="R17" i="589" s="1"/>
  <c r="S17" i="589" s="1"/>
  <c r="O13" i="589"/>
  <c r="Q13" i="589" s="1"/>
  <c r="R12" i="589" s="1"/>
  <c r="S12" i="589" s="1"/>
  <c r="S21" i="590" l="1"/>
  <c r="T20" i="590" s="1"/>
  <c r="S27" i="590"/>
  <c r="T25" i="590" s="1"/>
  <c r="V7" i="591"/>
  <c r="W8" i="591"/>
  <c r="W9" i="591"/>
  <c r="R6" i="589"/>
  <c r="S6" i="589" s="1"/>
  <c r="R5" i="589"/>
  <c r="S5" i="589" s="1"/>
  <c r="T12" i="590"/>
  <c r="T19" i="590" l="1"/>
  <c r="T26" i="590"/>
  <c r="I41" i="479" l="1"/>
  <c r="I34" i="479" l="1"/>
  <c r="I33" i="479"/>
  <c r="I32" i="479"/>
  <c r="I35" i="479"/>
  <c r="U39" i="479"/>
  <c r="T39" i="479"/>
  <c r="S39" i="479"/>
  <c r="R39" i="479"/>
  <c r="Q39" i="479"/>
  <c r="U38" i="479"/>
  <c r="T38" i="479"/>
  <c r="S38" i="479"/>
  <c r="R38" i="479"/>
  <c r="Q38" i="479"/>
  <c r="U37" i="479"/>
  <c r="T37" i="479"/>
  <c r="S37" i="479"/>
  <c r="R37" i="479"/>
  <c r="Q37" i="479"/>
  <c r="U36" i="479"/>
  <c r="T36" i="479"/>
  <c r="S36" i="479"/>
  <c r="R36" i="479"/>
  <c r="Q36" i="479"/>
  <c r="U35" i="479"/>
  <c r="T35" i="479"/>
  <c r="S35" i="479"/>
  <c r="R35" i="479"/>
  <c r="Q35" i="479"/>
  <c r="U34" i="479"/>
  <c r="T34" i="479"/>
  <c r="S34" i="479"/>
  <c r="R34" i="479"/>
  <c r="Q34" i="479"/>
  <c r="U33" i="479"/>
  <c r="T33" i="479"/>
  <c r="S33" i="479"/>
  <c r="R33" i="479"/>
  <c r="Q33" i="479"/>
  <c r="U32" i="479"/>
  <c r="T32" i="479"/>
  <c r="S32" i="479"/>
  <c r="R32" i="479"/>
  <c r="Q32" i="479"/>
  <c r="U31" i="479"/>
  <c r="T31" i="479"/>
  <c r="S31" i="479"/>
  <c r="R31" i="479"/>
  <c r="Q31" i="479"/>
  <c r="P31" i="479"/>
  <c r="T30" i="479"/>
  <c r="S30" i="479"/>
  <c r="R30" i="479"/>
  <c r="Q30" i="479"/>
  <c r="U27" i="479"/>
  <c r="T27" i="479"/>
  <c r="S27" i="479"/>
  <c r="R27" i="479"/>
  <c r="Q27" i="479"/>
  <c r="U26" i="479"/>
  <c r="T26" i="479"/>
  <c r="S26" i="479"/>
  <c r="R26" i="479"/>
  <c r="Q26" i="479"/>
  <c r="U25" i="479"/>
  <c r="T25" i="479"/>
  <c r="S25" i="479"/>
  <c r="R25" i="479"/>
  <c r="Q25" i="479"/>
  <c r="U24" i="479"/>
  <c r="T24" i="479"/>
  <c r="S24" i="479"/>
  <c r="R24" i="479"/>
  <c r="Q24" i="479"/>
  <c r="U23" i="479"/>
  <c r="T23" i="479"/>
  <c r="S23" i="479"/>
  <c r="R23" i="479"/>
  <c r="Q23" i="479"/>
  <c r="U22" i="479"/>
  <c r="T22" i="479"/>
  <c r="S22" i="479"/>
  <c r="R22" i="479"/>
  <c r="Q22" i="479"/>
  <c r="U21" i="479"/>
  <c r="T21" i="479"/>
  <c r="S21" i="479"/>
  <c r="R21" i="479"/>
  <c r="Q21" i="479"/>
  <c r="U20" i="479"/>
  <c r="T20" i="479"/>
  <c r="S20" i="479"/>
  <c r="R20" i="479"/>
  <c r="Q20" i="479"/>
  <c r="U19" i="479"/>
  <c r="T19" i="479"/>
  <c r="S19" i="479"/>
  <c r="R19" i="479"/>
  <c r="Q19" i="479"/>
  <c r="P19" i="479"/>
  <c r="T18" i="479"/>
  <c r="S18" i="479"/>
  <c r="R18" i="479"/>
  <c r="Q18" i="479"/>
  <c r="U15" i="479"/>
  <c r="Y11" i="479" s="1"/>
  <c r="T15" i="479"/>
  <c r="S15" i="479"/>
  <c r="R15" i="479"/>
  <c r="Q15" i="479"/>
  <c r="U14" i="479"/>
  <c r="T14" i="479"/>
  <c r="S14" i="479"/>
  <c r="R14" i="479"/>
  <c r="Q14" i="479"/>
  <c r="U13" i="479"/>
  <c r="T13" i="479"/>
  <c r="S13" i="479"/>
  <c r="R13" i="479"/>
  <c r="Q13" i="479"/>
  <c r="U12" i="479"/>
  <c r="T12" i="479"/>
  <c r="S12" i="479"/>
  <c r="R12" i="479"/>
  <c r="Q12" i="479"/>
  <c r="Z11" i="479"/>
  <c r="U11" i="479"/>
  <c r="T11" i="479"/>
  <c r="S11" i="479"/>
  <c r="R11" i="479"/>
  <c r="Q11" i="479"/>
  <c r="U10" i="479"/>
  <c r="T10" i="479"/>
  <c r="S10" i="479"/>
  <c r="R10" i="479"/>
  <c r="Q10" i="479"/>
  <c r="U9" i="479"/>
  <c r="T9" i="479"/>
  <c r="S9" i="479"/>
  <c r="R9" i="479"/>
  <c r="Q9" i="479"/>
  <c r="U8" i="479"/>
  <c r="T8" i="479"/>
  <c r="S8" i="479"/>
  <c r="R8" i="479"/>
  <c r="Q8" i="479"/>
  <c r="U7" i="479"/>
  <c r="T7" i="479"/>
  <c r="S7" i="479"/>
  <c r="R7" i="479"/>
  <c r="Q7" i="479"/>
  <c r="P7" i="479"/>
  <c r="T6" i="479"/>
  <c r="S6" i="479"/>
  <c r="R6" i="479"/>
  <c r="Q6" i="479"/>
  <c r="A6" i="479"/>
  <c r="P32" i="479" s="1"/>
  <c r="X7" i="479" l="1"/>
  <c r="I37" i="479"/>
  <c r="X8" i="479"/>
  <c r="Y7" i="479"/>
  <c r="AB16" i="479" s="1"/>
  <c r="X11" i="479"/>
  <c r="I36" i="479"/>
  <c r="Y8" i="479"/>
  <c r="P8" i="479"/>
  <c r="A7" i="479"/>
  <c r="P20" i="479"/>
  <c r="I39" i="479" l="1"/>
  <c r="I43" i="479"/>
  <c r="Z7" i="479"/>
  <c r="I38" i="479"/>
  <c r="I42" i="479"/>
  <c r="X9" i="479"/>
  <c r="P21" i="479"/>
  <c r="P33" i="479"/>
  <c r="A8" i="479"/>
  <c r="P9" i="479"/>
  <c r="Y9" i="479"/>
  <c r="AB17" i="479"/>
  <c r="Z8" i="479"/>
  <c r="Z9" i="479" l="1"/>
  <c r="Y18" i="479" s="1"/>
  <c r="P34" i="479"/>
  <c r="A9" i="479"/>
  <c r="P22" i="479"/>
  <c r="P10" i="479"/>
  <c r="Y13" i="479" l="1"/>
  <c r="AB18" i="479" s="1"/>
  <c r="Y16" i="479"/>
  <c r="Y17" i="479"/>
  <c r="AA8" i="479"/>
  <c r="AB19" i="479" s="1"/>
  <c r="AA7" i="479"/>
  <c r="AB7" i="479" s="1"/>
  <c r="AC7" i="479" s="1"/>
  <c r="AB20" i="479"/>
  <c r="P11" i="479"/>
  <c r="A10" i="479"/>
  <c r="P23" i="479"/>
  <c r="P35" i="479"/>
  <c r="AB8" i="479" l="1"/>
  <c r="AC8" i="479" s="1"/>
  <c r="AB21" i="479"/>
  <c r="AB22" i="479" s="1"/>
  <c r="AB23" i="479" s="1"/>
  <c r="AB24" i="479" s="1"/>
  <c r="AB27" i="479" s="1"/>
  <c r="Y19" i="479"/>
  <c r="Y20" i="479" s="1"/>
  <c r="P36" i="479"/>
  <c r="A11" i="479"/>
  <c r="P12" i="479"/>
  <c r="P24" i="479"/>
  <c r="AB26" i="479" l="1"/>
  <c r="P25" i="479"/>
  <c r="P13" i="479"/>
  <c r="P37" i="479"/>
  <c r="A12" i="479"/>
  <c r="P38" i="479" l="1"/>
  <c r="P26" i="479"/>
  <c r="P14" i="479"/>
  <c r="L35" i="290" l="1"/>
  <c r="L33" i="290"/>
  <c r="L32" i="290"/>
  <c r="L36" i="290" l="1"/>
  <c r="I29" i="290" l="1"/>
  <c r="U39" i="290"/>
  <c r="Z11" i="290" s="1"/>
  <c r="R39" i="290"/>
  <c r="S39" i="290"/>
  <c r="T39" i="290"/>
  <c r="Q39" i="290"/>
  <c r="U38" i="290"/>
  <c r="R38" i="290"/>
  <c r="S38" i="290"/>
  <c r="T38" i="290"/>
  <c r="Q38" i="290"/>
  <c r="U37" i="290"/>
  <c r="R37" i="290"/>
  <c r="S37" i="290"/>
  <c r="T37" i="290"/>
  <c r="Q37" i="290"/>
  <c r="U36" i="290"/>
  <c r="R36" i="290"/>
  <c r="S36" i="290"/>
  <c r="T36" i="290"/>
  <c r="Q36" i="290"/>
  <c r="U35" i="290"/>
  <c r="R35" i="290"/>
  <c r="S35" i="290"/>
  <c r="T35" i="290"/>
  <c r="Q35" i="290"/>
  <c r="U34" i="290"/>
  <c r="R34" i="290"/>
  <c r="S34" i="290"/>
  <c r="T34" i="290"/>
  <c r="Q34" i="290"/>
  <c r="U33" i="290"/>
  <c r="R33" i="290"/>
  <c r="S33" i="290"/>
  <c r="T33" i="290"/>
  <c r="Q33" i="290"/>
  <c r="U32" i="290"/>
  <c r="R32" i="290"/>
  <c r="S32" i="290"/>
  <c r="T32" i="290"/>
  <c r="Q32" i="290"/>
  <c r="U31" i="290"/>
  <c r="R31" i="290"/>
  <c r="S31" i="290"/>
  <c r="T31" i="290"/>
  <c r="Q31" i="290"/>
  <c r="P31" i="290"/>
  <c r="R30" i="290"/>
  <c r="S30" i="290"/>
  <c r="T30" i="290"/>
  <c r="Q30" i="290"/>
  <c r="U27" i="290"/>
  <c r="R27" i="290"/>
  <c r="S27" i="290"/>
  <c r="T27" i="290"/>
  <c r="Q27" i="290"/>
  <c r="U26" i="290"/>
  <c r="R26" i="290"/>
  <c r="S26" i="290"/>
  <c r="T26" i="290"/>
  <c r="Q26" i="290"/>
  <c r="U25" i="290"/>
  <c r="R25" i="290"/>
  <c r="S25" i="290"/>
  <c r="T25" i="290"/>
  <c r="Q25" i="290"/>
  <c r="U24" i="290"/>
  <c r="R24" i="290"/>
  <c r="S24" i="290"/>
  <c r="T24" i="290"/>
  <c r="Q24" i="290"/>
  <c r="U23" i="290"/>
  <c r="R23" i="290"/>
  <c r="S23" i="290"/>
  <c r="T23" i="290"/>
  <c r="Q23" i="290"/>
  <c r="U22" i="290"/>
  <c r="R22" i="290"/>
  <c r="S22" i="290"/>
  <c r="T22" i="290"/>
  <c r="Q22" i="290"/>
  <c r="U21" i="290"/>
  <c r="R21" i="290"/>
  <c r="S21" i="290"/>
  <c r="T21" i="290"/>
  <c r="Q21" i="290"/>
  <c r="U20" i="290"/>
  <c r="R20" i="290"/>
  <c r="S20" i="290"/>
  <c r="T20" i="290"/>
  <c r="Q20" i="290"/>
  <c r="U19" i="290"/>
  <c r="R19" i="290"/>
  <c r="S19" i="290"/>
  <c r="T19" i="290"/>
  <c r="Q19" i="290"/>
  <c r="P19" i="290"/>
  <c r="R18" i="290"/>
  <c r="S18" i="290"/>
  <c r="T18" i="290"/>
  <c r="Q18" i="290"/>
  <c r="U15" i="290"/>
  <c r="Y11" i="290" s="1"/>
  <c r="R15" i="290"/>
  <c r="S15" i="290"/>
  <c r="T15" i="290"/>
  <c r="Q15" i="290"/>
  <c r="U14" i="290"/>
  <c r="R14" i="290"/>
  <c r="S14" i="290"/>
  <c r="T14" i="290"/>
  <c r="Q14" i="290"/>
  <c r="U13" i="290"/>
  <c r="R13" i="290"/>
  <c r="S13" i="290"/>
  <c r="T13" i="290"/>
  <c r="Q13" i="290"/>
  <c r="U12" i="290"/>
  <c r="R12" i="290"/>
  <c r="S12" i="290"/>
  <c r="T12" i="290"/>
  <c r="Q12" i="290"/>
  <c r="U11" i="290"/>
  <c r="R11" i="290"/>
  <c r="S11" i="290"/>
  <c r="T11" i="290"/>
  <c r="Q11" i="290"/>
  <c r="U10" i="290"/>
  <c r="R10" i="290"/>
  <c r="S10" i="290"/>
  <c r="T10" i="290"/>
  <c r="Q10" i="290"/>
  <c r="U9" i="290"/>
  <c r="R9" i="290"/>
  <c r="S9" i="290"/>
  <c r="T9" i="290"/>
  <c r="Q9" i="290"/>
  <c r="U8" i="290"/>
  <c r="R8" i="290"/>
  <c r="S8" i="290"/>
  <c r="T8" i="290"/>
  <c r="Q8" i="290"/>
  <c r="U7" i="290"/>
  <c r="R7" i="290"/>
  <c r="S7" i="290"/>
  <c r="T7" i="290"/>
  <c r="Q7" i="290"/>
  <c r="P7" i="290"/>
  <c r="R6" i="290"/>
  <c r="S6" i="290"/>
  <c r="T6" i="290"/>
  <c r="Q6" i="290"/>
  <c r="X8" i="290" l="1"/>
  <c r="X7" i="290"/>
  <c r="Y8" i="290"/>
  <c r="Y7" i="290"/>
  <c r="AB16" i="290" s="1"/>
  <c r="X11" i="290"/>
  <c r="L34" i="290"/>
  <c r="L37" i="290" s="1"/>
  <c r="L38" i="290" s="1"/>
  <c r="L39" i="290" l="1"/>
  <c r="L42" i="290" s="1"/>
  <c r="L40" i="290"/>
  <c r="L43" i="290" s="1"/>
  <c r="AB17" i="290"/>
  <c r="Z7" i="290"/>
  <c r="Z8" i="290"/>
  <c r="X9" i="290"/>
  <c r="Y9" i="290"/>
  <c r="Z9" i="290" l="1"/>
  <c r="AB20" i="290" s="1"/>
  <c r="AB29" i="290" l="1"/>
  <c r="Y18" i="290"/>
  <c r="Y16" i="290"/>
  <c r="Y17" i="290"/>
  <c r="Y13" i="290"/>
  <c r="AB18" i="290" s="1"/>
  <c r="AA8" i="290"/>
  <c r="AB8" i="290" s="1"/>
  <c r="AC8" i="290" s="1"/>
  <c r="AA7" i="290"/>
  <c r="AB7" i="290" s="1"/>
  <c r="AC7" i="290" s="1"/>
  <c r="Y19" i="290" l="1"/>
  <c r="Y20" i="290" s="1"/>
  <c r="AB19" i="290"/>
  <c r="AB21" i="290" s="1"/>
  <c r="AB22" i="290" s="1"/>
  <c r="AB23" i="290" l="1"/>
  <c r="AB24" i="290"/>
  <c r="AB27" i="290" l="1"/>
  <c r="AB31" i="290" s="1"/>
  <c r="AB26" i="290"/>
  <c r="AB30" i="290" s="1"/>
  <c r="T5" i="303" l="1"/>
  <c r="U5" i="303" s="1"/>
  <c r="G13" i="303" a="1"/>
  <c r="T4" i="303"/>
  <c r="U4" i="303" s="1"/>
  <c r="T6" i="303"/>
  <c r="U6" i="303" s="1"/>
  <c r="H17" i="303" l="1"/>
  <c r="I16" i="303"/>
  <c r="J15" i="303"/>
  <c r="K14" i="303"/>
  <c r="G14" i="303"/>
  <c r="H13" i="303"/>
  <c r="J17" i="303"/>
  <c r="K16" i="303"/>
  <c r="G16" i="303"/>
  <c r="H15" i="303"/>
  <c r="I14" i="303"/>
  <c r="J13" i="303"/>
  <c r="I17" i="303"/>
  <c r="J16" i="303"/>
  <c r="K15" i="303"/>
  <c r="G15" i="303"/>
  <c r="H14" i="303"/>
  <c r="I13" i="303"/>
  <c r="H16" i="303"/>
  <c r="G13" i="303"/>
  <c r="I15" i="303"/>
  <c r="K17" i="303"/>
  <c r="J14" i="303"/>
  <c r="G17" i="303"/>
  <c r="K13" i="303"/>
  <c r="T7" i="303" l="1"/>
  <c r="U7" i="303" s="1"/>
  <c r="F5" i="388" l="1"/>
  <c r="F6" i="388" s="1"/>
  <c r="F7" i="388" s="1"/>
  <c r="F8" i="388" s="1"/>
  <c r="F9" i="388" s="1"/>
  <c r="F10" i="388" s="1"/>
  <c r="F11" i="388" s="1"/>
  <c r="F12" i="388" s="1"/>
  <c r="F13" i="388" s="1"/>
  <c r="F14" i="388" s="1"/>
  <c r="F15" i="388" s="1"/>
  <c r="A5" i="388"/>
  <c r="A6" i="388" s="1"/>
  <c r="A7" i="388" s="1"/>
  <c r="A8" i="388" s="1"/>
  <c r="A9" i="388" s="1"/>
  <c r="A10" i="388" s="1"/>
  <c r="A11" i="388" s="1"/>
  <c r="A12" i="388" s="1"/>
  <c r="A13" i="388" s="1"/>
  <c r="A14" i="388" s="1"/>
  <c r="A15" i="388" s="1"/>
  <c r="L5" i="388"/>
  <c r="L4" i="388"/>
  <c r="O33" i="388" s="1"/>
  <c r="O34" i="388" s="1"/>
  <c r="D7" i="312" l="1"/>
  <c r="I16" i="388" l="1"/>
  <c r="I17" i="388" s="1"/>
  <c r="G16" i="388"/>
  <c r="G17" i="388" s="1"/>
  <c r="H16" i="388"/>
  <c r="H17" i="388" s="1"/>
  <c r="L7" i="388"/>
  <c r="J17" i="388" l="1"/>
  <c r="L6" i="388" s="1"/>
  <c r="L8" i="388" s="1"/>
  <c r="L10" i="388" s="1"/>
  <c r="L3" i="388" l="1"/>
  <c r="K66" i="308" l="1"/>
  <c r="D11" i="312"/>
  <c r="D14" i="312" s="1"/>
  <c r="D8" i="312"/>
  <c r="C6" i="312"/>
  <c r="B6" i="312"/>
  <c r="O33" i="313"/>
  <c r="N33" i="313"/>
  <c r="O22" i="313"/>
  <c r="O31" i="313" s="1"/>
  <c r="O21" i="313"/>
  <c r="O30" i="313" s="1"/>
  <c r="G26" i="313"/>
  <c r="N24" i="313" s="1"/>
  <c r="G22" i="313"/>
  <c r="G21" i="313"/>
  <c r="L35" i="308"/>
  <c r="V57" i="313"/>
  <c r="V56" i="313"/>
  <c r="J22" i="313"/>
  <c r="I22" i="313"/>
  <c r="H22" i="313"/>
  <c r="J21" i="313"/>
  <c r="I21" i="313"/>
  <c r="H21" i="313"/>
  <c r="J17" i="313"/>
  <c r="I17" i="313"/>
  <c r="H17" i="313"/>
  <c r="G17" i="313"/>
  <c r="E17" i="313"/>
  <c r="D17" i="313"/>
  <c r="C17" i="313"/>
  <c r="B17" i="313"/>
  <c r="J16" i="313"/>
  <c r="I16" i="313"/>
  <c r="H16" i="313"/>
  <c r="G16" i="313"/>
  <c r="E16" i="313"/>
  <c r="D16" i="313"/>
  <c r="C16" i="313"/>
  <c r="B16" i="313"/>
  <c r="C49" i="308"/>
  <c r="B57" i="308"/>
  <c r="B58" i="308"/>
  <c r="B43" i="308"/>
  <c r="O6" i="309"/>
  <c r="O7" i="309" s="1"/>
  <c r="P6" i="309"/>
  <c r="P7" i="309" s="1"/>
  <c r="Q6" i="309"/>
  <c r="Q7" i="309" s="1"/>
  <c r="O8" i="309"/>
  <c r="P8" i="309"/>
  <c r="Q8" i="309"/>
  <c r="O9" i="309"/>
  <c r="P9" i="309"/>
  <c r="Q9" i="309"/>
  <c r="O10" i="309"/>
  <c r="P10" i="309"/>
  <c r="Q10" i="309"/>
  <c r="N10" i="309"/>
  <c r="N9" i="309"/>
  <c r="N8" i="309"/>
  <c r="N6" i="309"/>
  <c r="N7" i="309" s="1"/>
  <c r="J17" i="309"/>
  <c r="I17" i="309"/>
  <c r="H17" i="309"/>
  <c r="G17" i="309"/>
  <c r="C17" i="309"/>
  <c r="D17" i="309"/>
  <c r="E17" i="309"/>
  <c r="B17" i="309"/>
  <c r="C52" i="308"/>
  <c r="C59" i="308" s="1"/>
  <c r="B59" i="308"/>
  <c r="B51" i="308"/>
  <c r="B50" i="308"/>
  <c r="B49" i="308"/>
  <c r="B56" i="308"/>
  <c r="B48" i="308"/>
  <c r="K47" i="308"/>
  <c r="L33" i="308"/>
  <c r="L40" i="308" s="1"/>
  <c r="K33" i="308"/>
  <c r="K40" i="308" s="1"/>
  <c r="K35" i="308"/>
  <c r="L34" i="308"/>
  <c r="L48" i="308" s="1"/>
  <c r="K34" i="308"/>
  <c r="K48" i="308" s="1"/>
  <c r="L32" i="308"/>
  <c r="K32" i="308"/>
  <c r="J16" i="309"/>
  <c r="I16" i="309"/>
  <c r="H16" i="309"/>
  <c r="G16" i="309"/>
  <c r="E16" i="309"/>
  <c r="D16" i="309"/>
  <c r="C16" i="309"/>
  <c r="B16" i="309"/>
  <c r="C51" i="308"/>
  <c r="C50" i="308"/>
  <c r="C48" i="308"/>
  <c r="B41" i="308"/>
  <c r="H39" i="308"/>
  <c r="G39" i="308"/>
  <c r="F39" i="308"/>
  <c r="H38" i="308"/>
  <c r="G38" i="308"/>
  <c r="F38" i="308"/>
  <c r="H37" i="308"/>
  <c r="G37" i="308"/>
  <c r="F37" i="308"/>
  <c r="H36" i="308"/>
  <c r="G36" i="308"/>
  <c r="F36" i="308"/>
  <c r="H35" i="308"/>
  <c r="G35" i="308"/>
  <c r="F35" i="308"/>
  <c r="H34" i="308"/>
  <c r="G34" i="308"/>
  <c r="F34" i="308"/>
  <c r="H33" i="308"/>
  <c r="G33" i="308"/>
  <c r="F33" i="308"/>
  <c r="H32" i="308"/>
  <c r="G32" i="308"/>
  <c r="F32" i="308"/>
  <c r="H31" i="308"/>
  <c r="G31" i="308"/>
  <c r="F31" i="308"/>
  <c r="H30" i="308"/>
  <c r="G30" i="308"/>
  <c r="F30" i="308"/>
  <c r="H29" i="308"/>
  <c r="G29" i="308"/>
  <c r="F29" i="308"/>
  <c r="H28" i="308"/>
  <c r="G28" i="308"/>
  <c r="F28" i="308"/>
  <c r="H27" i="308"/>
  <c r="G27" i="308"/>
  <c r="F27" i="308"/>
  <c r="H26" i="308"/>
  <c r="G26" i="308"/>
  <c r="F26" i="308"/>
  <c r="H25" i="308"/>
  <c r="G25" i="308"/>
  <c r="F25" i="308"/>
  <c r="H24" i="308"/>
  <c r="G24" i="308"/>
  <c r="F24" i="308"/>
  <c r="H23" i="308"/>
  <c r="G23" i="308"/>
  <c r="F23" i="308"/>
  <c r="H22" i="308"/>
  <c r="G22" i="308"/>
  <c r="F22" i="308"/>
  <c r="H21" i="308"/>
  <c r="G21" i="308"/>
  <c r="F21" i="308"/>
  <c r="H20" i="308"/>
  <c r="G20" i="308"/>
  <c r="F20" i="308"/>
  <c r="H19" i="308"/>
  <c r="G19" i="308"/>
  <c r="F19" i="308"/>
  <c r="H18" i="308"/>
  <c r="G18" i="308"/>
  <c r="F18" i="308"/>
  <c r="H17" i="308"/>
  <c r="G17" i="308"/>
  <c r="F17" i="308"/>
  <c r="H16" i="308"/>
  <c r="G16" i="308"/>
  <c r="F16" i="308"/>
  <c r="H15" i="308"/>
  <c r="G15" i="308"/>
  <c r="F15" i="308"/>
  <c r="H14" i="308"/>
  <c r="G14" i="308"/>
  <c r="F14" i="308"/>
  <c r="H13" i="308"/>
  <c r="G13" i="308"/>
  <c r="F13" i="308"/>
  <c r="H12" i="308"/>
  <c r="G12" i="308"/>
  <c r="F12" i="308"/>
  <c r="H11" i="308"/>
  <c r="G11" i="308"/>
  <c r="F11" i="308"/>
  <c r="H10" i="308"/>
  <c r="G10" i="308"/>
  <c r="F10" i="308"/>
  <c r="H9" i="308"/>
  <c r="G9" i="308"/>
  <c r="F9" i="308"/>
  <c r="H8" i="308"/>
  <c r="G8" i="308"/>
  <c r="F8" i="308"/>
  <c r="AA7" i="308"/>
  <c r="Z7" i="308"/>
  <c r="H7" i="308"/>
  <c r="G7" i="308"/>
  <c r="F7" i="308"/>
  <c r="AA6" i="308"/>
  <c r="Z6" i="308"/>
  <c r="H6" i="308"/>
  <c r="G6" i="308"/>
  <c r="F6" i="308"/>
  <c r="H5" i="308"/>
  <c r="G5" i="308"/>
  <c r="F5" i="308"/>
  <c r="H4" i="308"/>
  <c r="G4" i="308"/>
  <c r="F4" i="308"/>
  <c r="AJ46" i="302"/>
  <c r="AJ45" i="302"/>
  <c r="AJ40" i="302"/>
  <c r="AJ41" i="302"/>
  <c r="AJ35" i="302"/>
  <c r="AJ36" i="302"/>
  <c r="G4" i="302"/>
  <c r="BU43" i="302"/>
  <c r="BV43" i="302"/>
  <c r="BW43" i="302"/>
  <c r="BU44" i="302"/>
  <c r="BV44" i="302"/>
  <c r="BW44" i="302"/>
  <c r="BU45" i="302"/>
  <c r="BV45" i="302"/>
  <c r="BW45" i="302"/>
  <c r="BU46" i="302"/>
  <c r="BV46" i="302"/>
  <c r="BW46" i="302"/>
  <c r="BU47" i="302"/>
  <c r="BV47" i="302"/>
  <c r="BW47" i="302"/>
  <c r="BU48" i="302"/>
  <c r="BV48" i="302"/>
  <c r="BW48" i="302"/>
  <c r="BU77" i="302"/>
  <c r="BV77" i="302"/>
  <c r="BW77" i="302"/>
  <c r="BU78" i="302"/>
  <c r="BV78" i="302"/>
  <c r="BW78" i="302"/>
  <c r="BU79" i="302"/>
  <c r="BV79" i="302"/>
  <c r="BW79" i="302"/>
  <c r="BU80" i="302"/>
  <c r="BV80" i="302"/>
  <c r="BW80" i="302"/>
  <c r="BU81" i="302"/>
  <c r="BV81" i="302"/>
  <c r="BW81" i="302"/>
  <c r="BU82" i="302"/>
  <c r="BV82" i="302"/>
  <c r="BW82" i="302"/>
  <c r="BU60" i="302"/>
  <c r="BV60" i="302"/>
  <c r="BW60" i="302"/>
  <c r="BU61" i="302"/>
  <c r="BV61" i="302"/>
  <c r="BW61" i="302"/>
  <c r="BU62" i="302"/>
  <c r="BV62" i="302"/>
  <c r="BW62" i="302"/>
  <c r="BU63" i="302"/>
  <c r="BV63" i="302"/>
  <c r="BW63" i="302"/>
  <c r="BU64" i="302"/>
  <c r="BV64" i="302"/>
  <c r="BW64" i="302"/>
  <c r="BU65" i="302"/>
  <c r="BV65" i="302"/>
  <c r="BW65" i="302"/>
  <c r="BW76" i="302"/>
  <c r="BV76" i="302"/>
  <c r="BU76" i="302"/>
  <c r="BW59" i="302"/>
  <c r="BV59" i="302"/>
  <c r="BU59" i="302"/>
  <c r="BW42" i="302"/>
  <c r="BV42" i="302"/>
  <c r="BU42" i="302"/>
  <c r="BU26" i="302"/>
  <c r="BV26" i="302"/>
  <c r="BW26" i="302"/>
  <c r="BU27" i="302"/>
  <c r="BV27" i="302"/>
  <c r="BW27" i="302"/>
  <c r="BU28" i="302"/>
  <c r="BV28" i="302"/>
  <c r="BW28" i="302"/>
  <c r="BU29" i="302"/>
  <c r="BV29" i="302"/>
  <c r="BW29" i="302"/>
  <c r="BU30" i="302"/>
  <c r="BV30" i="302"/>
  <c r="BW30" i="302"/>
  <c r="BU31" i="302"/>
  <c r="BV31" i="302"/>
  <c r="BW31" i="302"/>
  <c r="BW25" i="302"/>
  <c r="BV25" i="302"/>
  <c r="BU25" i="302"/>
  <c r="BU9" i="302"/>
  <c r="BV9" i="302"/>
  <c r="BW9" i="302"/>
  <c r="BU10" i="302"/>
  <c r="BV10" i="302"/>
  <c r="BW10" i="302"/>
  <c r="BU11" i="302"/>
  <c r="BV11" i="302"/>
  <c r="BW11" i="302"/>
  <c r="BU12" i="302"/>
  <c r="BV12" i="302"/>
  <c r="BW12" i="302"/>
  <c r="BU13" i="302"/>
  <c r="BV13" i="302"/>
  <c r="BW13" i="302"/>
  <c r="BU14" i="302"/>
  <c r="BV14" i="302"/>
  <c r="BW14" i="302"/>
  <c r="BW8" i="302"/>
  <c r="BV8" i="302"/>
  <c r="BU8" i="302"/>
  <c r="BF24" i="302"/>
  <c r="BF25" i="302" s="1"/>
  <c r="BG24" i="302"/>
  <c r="BG25" i="302" s="1"/>
  <c r="BH24" i="302"/>
  <c r="BH25" i="302" s="1"/>
  <c r="BI24" i="302"/>
  <c r="BI25" i="302" s="1"/>
  <c r="BJ24" i="302"/>
  <c r="BJ25" i="302" s="1"/>
  <c r="BK24" i="302"/>
  <c r="BK25" i="302" s="1"/>
  <c r="BL24" i="302"/>
  <c r="BL25" i="302" s="1"/>
  <c r="BM24" i="302"/>
  <c r="BM25" i="302" s="1"/>
  <c r="BN24" i="302"/>
  <c r="BN25" i="302" s="1"/>
  <c r="BO24" i="302"/>
  <c r="BO25" i="302" s="1"/>
  <c r="BP24" i="302"/>
  <c r="BP25" i="302" s="1"/>
  <c r="BQ24" i="302"/>
  <c r="BQ25" i="302" s="1"/>
  <c r="BR24" i="302"/>
  <c r="BR25" i="302" s="1"/>
  <c r="BS24" i="302"/>
  <c r="BS25" i="302" s="1"/>
  <c r="BF26" i="302"/>
  <c r="BG26" i="302"/>
  <c r="BH26" i="302"/>
  <c r="BI26" i="302"/>
  <c r="BJ26" i="302"/>
  <c r="BK26" i="302"/>
  <c r="BL26" i="302"/>
  <c r="BM26" i="302"/>
  <c r="BN26" i="302"/>
  <c r="BO26" i="302"/>
  <c r="BP26" i="302"/>
  <c r="BQ26" i="302"/>
  <c r="BR26" i="302"/>
  <c r="BS26" i="302"/>
  <c r="BF27" i="302"/>
  <c r="BG27" i="302"/>
  <c r="BH27" i="302"/>
  <c r="BI27" i="302"/>
  <c r="BJ27" i="302"/>
  <c r="BK27" i="302"/>
  <c r="BL27" i="302"/>
  <c r="BM27" i="302"/>
  <c r="BN27" i="302"/>
  <c r="BO27" i="302"/>
  <c r="BP27" i="302"/>
  <c r="BQ27" i="302"/>
  <c r="BR27" i="302"/>
  <c r="BS27" i="302"/>
  <c r="BF28" i="302"/>
  <c r="BG28" i="302"/>
  <c r="BH28" i="302"/>
  <c r="BI28" i="302"/>
  <c r="BJ28" i="302"/>
  <c r="BK28" i="302"/>
  <c r="BL28" i="302"/>
  <c r="BM28" i="302"/>
  <c r="BN28" i="302"/>
  <c r="BO28" i="302"/>
  <c r="BP28" i="302"/>
  <c r="BQ28" i="302"/>
  <c r="BR28" i="302"/>
  <c r="BS28" i="302"/>
  <c r="BE28" i="302"/>
  <c r="BE27" i="302"/>
  <c r="BE26" i="302"/>
  <c r="BE24" i="302"/>
  <c r="BE25" i="302" s="1"/>
  <c r="J9" i="302"/>
  <c r="Y8" i="301"/>
  <c r="Y9" i="301" s="1"/>
  <c r="Y10" i="301" s="1"/>
  <c r="Y11" i="301" s="1"/>
  <c r="Y12" i="301" s="1"/>
  <c r="Y13" i="301" s="1"/>
  <c r="Y14" i="301" s="1"/>
  <c r="Y15" i="301" s="1"/>
  <c r="Y16" i="301" s="1"/>
  <c r="AB23" i="301" s="1"/>
  <c r="B5" i="312" l="1"/>
  <c r="M5" i="767"/>
  <c r="C4" i="312"/>
  <c r="N4" i="767"/>
  <c r="C5" i="312"/>
  <c r="N5" i="767"/>
  <c r="D6" i="312"/>
  <c r="D5" i="312"/>
  <c r="K61" i="308"/>
  <c r="K62" i="308"/>
  <c r="K57" i="308"/>
  <c r="K21" i="313"/>
  <c r="K56" i="308"/>
  <c r="G23" i="313"/>
  <c r="O24" i="313"/>
  <c r="J23" i="313"/>
  <c r="H23" i="313"/>
  <c r="I23" i="313"/>
  <c r="D49" i="308"/>
  <c r="L49" i="308"/>
  <c r="L47" i="308" s="1"/>
  <c r="M47" i="308" s="1"/>
  <c r="M48" i="308"/>
  <c r="K49" i="308"/>
  <c r="K41" i="308"/>
  <c r="K42" i="308" s="1"/>
  <c r="L41" i="308"/>
  <c r="M32" i="308"/>
  <c r="D51" i="308"/>
  <c r="AB6" i="308"/>
  <c r="L42" i="308"/>
  <c r="M40" i="308" s="1"/>
  <c r="AB7" i="308"/>
  <c r="D48" i="308"/>
  <c r="M34" i="308"/>
  <c r="M33" i="308"/>
  <c r="C57" i="308"/>
  <c r="C56" i="308"/>
  <c r="C58" i="308"/>
  <c r="D50" i="308"/>
  <c r="BV66" i="302"/>
  <c r="BZ65" i="302" s="1"/>
  <c r="BV15" i="302"/>
  <c r="BZ13" i="302" s="1"/>
  <c r="BV16" i="302"/>
  <c r="BU32" i="302"/>
  <c r="BY29" i="302" s="1"/>
  <c r="BU66" i="302"/>
  <c r="BY61" i="302" s="1"/>
  <c r="BV83" i="302"/>
  <c r="BZ77" i="302" s="1"/>
  <c r="BV84" i="302"/>
  <c r="BW16" i="302"/>
  <c r="BW15" i="302"/>
  <c r="CA10" i="302" s="1"/>
  <c r="BV33" i="302"/>
  <c r="BV32" i="302"/>
  <c r="BZ30" i="302" s="1"/>
  <c r="BU49" i="302"/>
  <c r="BU50" i="302" s="1"/>
  <c r="BV67" i="302"/>
  <c r="BW84" i="302"/>
  <c r="BW83" i="302"/>
  <c r="CA80" i="302" s="1"/>
  <c r="BU15" i="302"/>
  <c r="BY10" i="302" s="1"/>
  <c r="BW32" i="302"/>
  <c r="CA28" i="302" s="1"/>
  <c r="BV50" i="302"/>
  <c r="BW67" i="302"/>
  <c r="BW33" i="302"/>
  <c r="BW50" i="302"/>
  <c r="BW49" i="302"/>
  <c r="CA45" i="302" s="1"/>
  <c r="BU83" i="302"/>
  <c r="BY79" i="302" s="1"/>
  <c r="BW66" i="302"/>
  <c r="CA65" i="302" s="1"/>
  <c r="BV49" i="302"/>
  <c r="BZ47" i="302" s="1"/>
  <c r="O5" i="767" l="1"/>
  <c r="B4" i="312"/>
  <c r="D4" i="312" s="1"/>
  <c r="M4" i="767"/>
  <c r="O4" i="767" s="1"/>
  <c r="O14" i="767" s="1"/>
  <c r="D9" i="312"/>
  <c r="D10" i="312" s="1"/>
  <c r="D13" i="312" s="1"/>
  <c r="D15" i="312" s="1"/>
  <c r="BY12" i="302"/>
  <c r="N47" i="308"/>
  <c r="O47" i="308" s="1"/>
  <c r="K23" i="313"/>
  <c r="G25" i="313" s="1"/>
  <c r="BZ64" i="302"/>
  <c r="BZ63" i="302"/>
  <c r="CA48" i="302"/>
  <c r="BZ9" i="302"/>
  <c r="BZ60" i="302"/>
  <c r="BZ59" i="302"/>
  <c r="BZ12" i="302"/>
  <c r="BZ10" i="302"/>
  <c r="CA44" i="302"/>
  <c r="BZ42" i="302"/>
  <c r="BZ80" i="302"/>
  <c r="BY13" i="302"/>
  <c r="BZ14" i="302"/>
  <c r="BZ11" i="302"/>
  <c r="AB8" i="308"/>
  <c r="AB10" i="308" s="1"/>
  <c r="AB11" i="308" s="1"/>
  <c r="M41" i="308"/>
  <c r="N40" i="308" s="1"/>
  <c r="O40" i="308" s="1"/>
  <c r="C60" i="308"/>
  <c r="N32" i="308"/>
  <c r="O32" i="308" s="1"/>
  <c r="D52" i="308"/>
  <c r="N33" i="308"/>
  <c r="O33" i="308" s="1"/>
  <c r="BY9" i="302"/>
  <c r="BY8" i="302"/>
  <c r="BZ62" i="302"/>
  <c r="BZ61" i="302"/>
  <c r="BY48" i="302"/>
  <c r="BY27" i="302"/>
  <c r="CA25" i="302"/>
  <c r="BZ44" i="302"/>
  <c r="CA42" i="302"/>
  <c r="CA47" i="302"/>
  <c r="BY26" i="302"/>
  <c r="BU84" i="302"/>
  <c r="BY65" i="302"/>
  <c r="BZ48" i="302"/>
  <c r="BY81" i="302"/>
  <c r="BY82" i="302"/>
  <c r="BY62" i="302"/>
  <c r="CA43" i="302"/>
  <c r="BY80" i="302"/>
  <c r="BY63" i="302"/>
  <c r="BY59" i="302"/>
  <c r="BY78" i="302"/>
  <c r="BZ46" i="302"/>
  <c r="BZ76" i="302"/>
  <c r="BZ8" i="302"/>
  <c r="BZ31" i="302"/>
  <c r="CA62" i="302"/>
  <c r="CA59" i="302"/>
  <c r="CA60" i="302"/>
  <c r="CA82" i="302"/>
  <c r="BZ79" i="302"/>
  <c r="CA61" i="302"/>
  <c r="CA77" i="302"/>
  <c r="BZ43" i="302"/>
  <c r="BY28" i="302"/>
  <c r="BY47" i="302"/>
  <c r="BU16" i="302"/>
  <c r="BY11" i="302"/>
  <c r="BY77" i="302"/>
  <c r="BZ82" i="302"/>
  <c r="CA76" i="302"/>
  <c r="CA29" i="302"/>
  <c r="CA9" i="302"/>
  <c r="CA8" i="302"/>
  <c r="BZ45" i="302"/>
  <c r="BZ81" i="302"/>
  <c r="BY60" i="302"/>
  <c r="BY64" i="302"/>
  <c r="BU33" i="302"/>
  <c r="CA12" i="302"/>
  <c r="BY76" i="302"/>
  <c r="CA31" i="302"/>
  <c r="CA26" i="302"/>
  <c r="CA79" i="302"/>
  <c r="BZ26" i="302"/>
  <c r="BZ29" i="302"/>
  <c r="BZ25" i="302"/>
  <c r="CA81" i="302"/>
  <c r="BY43" i="302"/>
  <c r="BY44" i="302"/>
  <c r="BZ28" i="302"/>
  <c r="CA78" i="302"/>
  <c r="CA63" i="302"/>
  <c r="BZ27" i="302"/>
  <c r="BY46" i="302"/>
  <c r="BY45" i="302"/>
  <c r="CA11" i="302"/>
  <c r="CA30" i="302"/>
  <c r="CA14" i="302"/>
  <c r="CA27" i="302"/>
  <c r="BZ78" i="302"/>
  <c r="CA64" i="302"/>
  <c r="BY42" i="302"/>
  <c r="BY31" i="302"/>
  <c r="CA46" i="302"/>
  <c r="BU67" i="302"/>
  <c r="BY30" i="302"/>
  <c r="BY25" i="302"/>
  <c r="BY14" i="302"/>
  <c r="CA13" i="302"/>
  <c r="O18" i="767"/>
  <c r="O19" i="767" l="1"/>
  <c r="N22" i="313"/>
  <c r="N21" i="313" s="1"/>
  <c r="N29" i="313"/>
  <c r="P29" i="313" s="1"/>
  <c r="D17" i="312"/>
  <c r="AS32" i="302"/>
  <c r="AT32" i="302" s="1"/>
  <c r="AU32" i="302" s="1"/>
  <c r="AV32" i="302" s="1"/>
  <c r="AS23" i="302"/>
  <c r="AT23" i="302" s="1"/>
  <c r="AU23" i="302" s="1"/>
  <c r="AV23" i="302" s="1"/>
  <c r="AS14" i="302"/>
  <c r="AT14" i="302" s="1"/>
  <c r="AU14" i="302" s="1"/>
  <c r="AV14" i="302" s="1"/>
  <c r="AS5" i="302"/>
  <c r="AT5" i="302" s="1"/>
  <c r="AU5" i="302" s="1"/>
  <c r="AV5" i="302" s="1"/>
  <c r="N31" i="313" l="1"/>
  <c r="P31" i="313" s="1"/>
  <c r="Q29" i="313" s="1"/>
  <c r="R29" i="313" s="1"/>
  <c r="P21" i="313"/>
  <c r="P22" i="313"/>
  <c r="AS39" i="302"/>
  <c r="AU39" i="302"/>
  <c r="AT39" i="302"/>
  <c r="AV39" i="302"/>
  <c r="AT30" i="302"/>
  <c r="AV30" i="302"/>
  <c r="AS30" i="302"/>
  <c r="AU30" i="302"/>
  <c r="AS21" i="302"/>
  <c r="AU21" i="302"/>
  <c r="AT21" i="302"/>
  <c r="AV21" i="302"/>
  <c r="Q21" i="313" l="1"/>
  <c r="R21" i="313" s="1"/>
  <c r="N30" i="313"/>
  <c r="P30" i="313" s="1"/>
  <c r="Q30" i="313" s="1"/>
  <c r="R30" i="313" s="1"/>
  <c r="CO5" i="302"/>
  <c r="CP5" i="302" s="1"/>
  <c r="CO6" i="302"/>
  <c r="CP6" i="302" s="1"/>
  <c r="CO4" i="302"/>
  <c r="CP4" i="302" s="1"/>
  <c r="AS20" i="302"/>
  <c r="AY25" i="302"/>
  <c r="AR30" i="302"/>
  <c r="AY24" i="302" s="1"/>
  <c r="AY26" i="302"/>
  <c r="AR29" i="302"/>
  <c r="AV38" i="302"/>
  <c r="AU20" i="302"/>
  <c r="AU29" i="302"/>
  <c r="AS29" i="302"/>
  <c r="AR39" i="302"/>
  <c r="AY33" i="302" s="1"/>
  <c r="AY35" i="302"/>
  <c r="AR38" i="302"/>
  <c r="AY34" i="302"/>
  <c r="AT38" i="302"/>
  <c r="AV20" i="302"/>
  <c r="AS38" i="302"/>
  <c r="AR21" i="302"/>
  <c r="AY15" i="302" s="1"/>
  <c r="AY17" i="302"/>
  <c r="AR20" i="302"/>
  <c r="AY16" i="302"/>
  <c r="AT20" i="302"/>
  <c r="AT29" i="302"/>
  <c r="AV29" i="302"/>
  <c r="AU38" i="302"/>
  <c r="AS12" i="302"/>
  <c r="AU12" i="302"/>
  <c r="AT12" i="302"/>
  <c r="AV12" i="302"/>
  <c r="AT11" i="302" l="1"/>
  <c r="AY27" i="302"/>
  <c r="AR11" i="302"/>
  <c r="AR12" i="302"/>
  <c r="AY6" i="302" s="1"/>
  <c r="AY8" i="302"/>
  <c r="AY7" i="302"/>
  <c r="AY36" i="302"/>
  <c r="AU11" i="302"/>
  <c r="AY18" i="302"/>
  <c r="AS11" i="302"/>
  <c r="AV11" i="302"/>
  <c r="AY9" i="302" l="1"/>
  <c r="AS41" i="302" l="1"/>
  <c r="AL29" i="302"/>
  <c r="AQ33" i="302"/>
  <c r="Q58" i="302"/>
  <c r="AQ24" i="302"/>
  <c r="AQ15" i="302"/>
  <c r="G24" i="302"/>
  <c r="G23" i="302"/>
  <c r="G22" i="302"/>
  <c r="G21" i="302"/>
  <c r="G20" i="302"/>
  <c r="G19" i="302"/>
  <c r="G18" i="302"/>
  <c r="G17" i="302"/>
  <c r="G16" i="302"/>
  <c r="G15" i="302"/>
  <c r="G14" i="302"/>
  <c r="G13" i="302"/>
  <c r="G12" i="302"/>
  <c r="N11" i="302"/>
  <c r="M11" i="302"/>
  <c r="L11" i="302"/>
  <c r="K11" i="302"/>
  <c r="J11" i="302"/>
  <c r="G11" i="302"/>
  <c r="N10" i="302"/>
  <c r="M10" i="302"/>
  <c r="L10" i="302"/>
  <c r="K10" i="302"/>
  <c r="J10" i="302"/>
  <c r="G10" i="302"/>
  <c r="N9" i="302"/>
  <c r="M9" i="302"/>
  <c r="L9" i="302"/>
  <c r="K9" i="302"/>
  <c r="G9" i="302"/>
  <c r="G8" i="302"/>
  <c r="G7" i="302"/>
  <c r="L5" i="302"/>
  <c r="Q4" i="303" s="1"/>
  <c r="G6" i="302"/>
  <c r="S5" i="302"/>
  <c r="G5" i="302"/>
  <c r="B50" i="301"/>
  <c r="B51" i="301" s="1"/>
  <c r="B45" i="301"/>
  <c r="B44" i="301"/>
  <c r="Q5" i="303" l="1"/>
  <c r="Q6" i="303"/>
  <c r="R4" i="303"/>
  <c r="S4" i="303" s="1"/>
  <c r="V4" i="303"/>
  <c r="X14" i="302"/>
  <c r="CL7" i="302"/>
  <c r="CQ4" i="302" s="1"/>
  <c r="AE12" i="302"/>
  <c r="BD11" i="302"/>
  <c r="BU98" i="302" s="1"/>
  <c r="AF11" i="302"/>
  <c r="BE10" i="302"/>
  <c r="BV97" i="302" s="1"/>
  <c r="AG12" i="302"/>
  <c r="BF11" i="302"/>
  <c r="BW98" i="302" s="1"/>
  <c r="AE7" i="302"/>
  <c r="BD6" i="302"/>
  <c r="AE13" i="302"/>
  <c r="BD12" i="302"/>
  <c r="BU99" i="302" s="1"/>
  <c r="AF8" i="302"/>
  <c r="BE7" i="302"/>
  <c r="BV94" i="302" s="1"/>
  <c r="AF12" i="302"/>
  <c r="BE11" i="302"/>
  <c r="BV98" i="302" s="1"/>
  <c r="AG9" i="302"/>
  <c r="BF8" i="302"/>
  <c r="BW95" i="302" s="1"/>
  <c r="AG13" i="302"/>
  <c r="BF12" i="302"/>
  <c r="BW99" i="302" s="1"/>
  <c r="AE8" i="302"/>
  <c r="BD7" i="302"/>
  <c r="BU94" i="302" s="1"/>
  <c r="AE10" i="302"/>
  <c r="BD9" i="302"/>
  <c r="BU96" i="302" s="1"/>
  <c r="AF9" i="302"/>
  <c r="BE8" i="302"/>
  <c r="BV95" i="302" s="1"/>
  <c r="AF13" i="302"/>
  <c r="BE12" i="302"/>
  <c r="BV99" i="302" s="1"/>
  <c r="AG10" i="302"/>
  <c r="BF9" i="302"/>
  <c r="BW96" i="302" s="1"/>
  <c r="AE9" i="302"/>
  <c r="BD8" i="302"/>
  <c r="BU95" i="302" s="1"/>
  <c r="AG8" i="302"/>
  <c r="BF7" i="302"/>
  <c r="BW94" i="302" s="1"/>
  <c r="B46" i="301"/>
  <c r="AE11" i="302"/>
  <c r="BD10" i="302"/>
  <c r="BU97" i="302" s="1"/>
  <c r="AF7" i="302"/>
  <c r="BE6" i="302"/>
  <c r="AF10" i="302"/>
  <c r="BE9" i="302"/>
  <c r="BV96" i="302" s="1"/>
  <c r="AG7" i="302"/>
  <c r="BF6" i="302"/>
  <c r="AG11" i="302"/>
  <c r="BF10" i="302"/>
  <c r="BW97" i="302" s="1"/>
  <c r="K12" i="302"/>
  <c r="R8" i="302"/>
  <c r="S8" i="302" s="1"/>
  <c r="S38" i="302" s="1"/>
  <c r="BB32" i="302"/>
  <c r="BB14" i="302"/>
  <c r="BB41" i="302"/>
  <c r="BB23" i="302"/>
  <c r="AT41" i="302"/>
  <c r="N12" i="302"/>
  <c r="O10" i="302"/>
  <c r="L12" i="302"/>
  <c r="O11" i="302"/>
  <c r="O12" i="302"/>
  <c r="R37" i="302"/>
  <c r="S37" i="302" s="1"/>
  <c r="R36" i="302"/>
  <c r="S36" i="302" s="1"/>
  <c r="J12" i="302"/>
  <c r="O9" i="302"/>
  <c r="M12" i="302"/>
  <c r="Q7" i="303" l="1"/>
  <c r="R7" i="303" s="1"/>
  <c r="R6" i="303"/>
  <c r="S6" i="303" s="1"/>
  <c r="V6" i="303"/>
  <c r="R5" i="303"/>
  <c r="S5" i="303" s="1"/>
  <c r="V5" i="303"/>
  <c r="CR5" i="302"/>
  <c r="CS5" i="302" s="1"/>
  <c r="CQ5" i="302"/>
  <c r="CR6" i="302"/>
  <c r="CS6" i="302" s="1"/>
  <c r="CQ6" i="302"/>
  <c r="CR4" i="302"/>
  <c r="CS4" i="302" s="1"/>
  <c r="BK6" i="302"/>
  <c r="BK7" i="302" s="1"/>
  <c r="BK9" i="302"/>
  <c r="BW93" i="302"/>
  <c r="BK10" i="302"/>
  <c r="BK8" i="302"/>
  <c r="BV93" i="302"/>
  <c r="BJ6" i="302"/>
  <c r="BJ7" i="302" s="1"/>
  <c r="BJ9" i="302"/>
  <c r="BJ10" i="302"/>
  <c r="BJ8" i="302"/>
  <c r="BI9" i="302"/>
  <c r="BI10" i="302"/>
  <c r="BU93" i="302"/>
  <c r="BI8" i="302"/>
  <c r="BI6" i="302"/>
  <c r="BI7" i="302" s="1"/>
  <c r="AU41" i="302"/>
  <c r="R43" i="302"/>
  <c r="K5" i="302"/>
  <c r="N5" i="303" s="1"/>
  <c r="R42" i="302"/>
  <c r="J5" i="302"/>
  <c r="N6" i="303" s="1"/>
  <c r="V7" i="303" l="1"/>
  <c r="V8" i="303" s="1"/>
  <c r="N11" i="303" s="1"/>
  <c r="N14" i="303"/>
  <c r="R8" i="303"/>
  <c r="N12" i="303" s="1"/>
  <c r="S7" i="303"/>
  <c r="S8" i="303" s="1"/>
  <c r="Q11" i="303" s="1"/>
  <c r="CL6" i="302"/>
  <c r="CL5" i="302"/>
  <c r="CL8" i="302" s="1"/>
  <c r="AR51" i="302" s="1" a="1"/>
  <c r="BW100" i="302"/>
  <c r="CA93" i="302" s="1"/>
  <c r="BW101" i="302"/>
  <c r="BV101" i="302"/>
  <c r="BV100" i="302"/>
  <c r="BZ93" i="302" s="1"/>
  <c r="BU100" i="302"/>
  <c r="BY93" i="302" s="1"/>
  <c r="BB5" i="302"/>
  <c r="BB43" i="302"/>
  <c r="AY23" i="302"/>
  <c r="AY5" i="302"/>
  <c r="AY32" i="302"/>
  <c r="AY14" i="302"/>
  <c r="AY41" i="302"/>
  <c r="AU44" i="302"/>
  <c r="AU42" i="302"/>
  <c r="AV42" i="302"/>
  <c r="AS46" i="302"/>
  <c r="AS44" i="302"/>
  <c r="AS42" i="302"/>
  <c r="AV44" i="302"/>
  <c r="AV46" i="302"/>
  <c r="AR44" i="302"/>
  <c r="AR45" i="302"/>
  <c r="AR43" i="302"/>
  <c r="AU45" i="302"/>
  <c r="AU48" i="302" s="1"/>
  <c r="AT44" i="302"/>
  <c r="AT48" i="302" s="1"/>
  <c r="AU43" i="302"/>
  <c r="AV43" i="302"/>
  <c r="AT46" i="302"/>
  <c r="AS45" i="302"/>
  <c r="AT42" i="302"/>
  <c r="AU46" i="302"/>
  <c r="AV45" i="302"/>
  <c r="AR46" i="302"/>
  <c r="AS43" i="302"/>
  <c r="AS48" i="302" s="1"/>
  <c r="AR42" i="302"/>
  <c r="AT45" i="302"/>
  <c r="AT43" i="302"/>
  <c r="AV41" i="302"/>
  <c r="T37" i="302"/>
  <c r="T36" i="302"/>
  <c r="R7" i="302"/>
  <c r="S7" i="302" s="1"/>
  <c r="T9" i="302"/>
  <c r="T6" i="302"/>
  <c r="Y7" i="302" s="1"/>
  <c r="T8" i="302"/>
  <c r="T5" i="302"/>
  <c r="R57" i="302"/>
  <c r="R56" i="302"/>
  <c r="R44" i="302"/>
  <c r="R6" i="302"/>
  <c r="S6" i="302" s="1"/>
  <c r="T7" i="302"/>
  <c r="Y10" i="302" s="1"/>
  <c r="R9" i="302"/>
  <c r="S9" i="302" s="1"/>
  <c r="N17" i="303" l="1"/>
  <c r="Q12" i="303"/>
  <c r="N13" i="303"/>
  <c r="N15" i="303" s="1"/>
  <c r="N18" i="303" s="1"/>
  <c r="CR7" i="302"/>
  <c r="CS7" i="302" s="1"/>
  <c r="CS8" i="302" s="1"/>
  <c r="CO11" i="302" s="1"/>
  <c r="CL14" i="302"/>
  <c r="CL17" i="302" s="1"/>
  <c r="AR51" i="302"/>
  <c r="AS52" i="302"/>
  <c r="AV53" i="302"/>
  <c r="AT55" i="302"/>
  <c r="AU51" i="302"/>
  <c r="AS53" i="302"/>
  <c r="AV54" i="302"/>
  <c r="AT52" i="302"/>
  <c r="AU55" i="302"/>
  <c r="AR53" i="302"/>
  <c r="AT51" i="302"/>
  <c r="AU54" i="302"/>
  <c r="AR54" i="302"/>
  <c r="AV52" i="302"/>
  <c r="AR55" i="302"/>
  <c r="AV51" i="302"/>
  <c r="AT54" i="302"/>
  <c r="AT53" i="302"/>
  <c r="AU53" i="302"/>
  <c r="AV55" i="302"/>
  <c r="AU52" i="302"/>
  <c r="AS55" i="302"/>
  <c r="AR52" i="302"/>
  <c r="AS54" i="302"/>
  <c r="AS51" i="302"/>
  <c r="CA94" i="302"/>
  <c r="CA95" i="302"/>
  <c r="CA96" i="302"/>
  <c r="CA98" i="302"/>
  <c r="CA99" i="302"/>
  <c r="CA97" i="302"/>
  <c r="BY94" i="302"/>
  <c r="BY99" i="302"/>
  <c r="BY98" i="302"/>
  <c r="BY97" i="302"/>
  <c r="BY96" i="302"/>
  <c r="BY95" i="302"/>
  <c r="BU101" i="302"/>
  <c r="BZ97" i="302"/>
  <c r="BZ96" i="302"/>
  <c r="BZ99" i="302"/>
  <c r="BZ95" i="302"/>
  <c r="BZ94" i="302"/>
  <c r="BZ98" i="302"/>
  <c r="BB15" i="302"/>
  <c r="AY20" i="302"/>
  <c r="AY19" i="302"/>
  <c r="BB33" i="302"/>
  <c r="AY38" i="302"/>
  <c r="AY37" i="302"/>
  <c r="AY43" i="302"/>
  <c r="AY44" i="302"/>
  <c r="AY10" i="302"/>
  <c r="BB6" i="302"/>
  <c r="AY11" i="302"/>
  <c r="BB42" i="302"/>
  <c r="BB49" i="302" s="1"/>
  <c r="AY29" i="302"/>
  <c r="AY28" i="302"/>
  <c r="BB24" i="302"/>
  <c r="AV48" i="302"/>
  <c r="AT47" i="302"/>
  <c r="AR48" i="302"/>
  <c r="AR47" i="302"/>
  <c r="AS47" i="302"/>
  <c r="AV47" i="302"/>
  <c r="AU47" i="302"/>
  <c r="S42" i="302"/>
  <c r="U36" i="302"/>
  <c r="X7" i="302"/>
  <c r="Z7" i="302" s="1"/>
  <c r="U6" i="302"/>
  <c r="S11" i="302"/>
  <c r="T12" i="302"/>
  <c r="Y6" i="302"/>
  <c r="S43" i="302"/>
  <c r="U37" i="302"/>
  <c r="T38" i="302"/>
  <c r="T10" i="302"/>
  <c r="U5" i="302"/>
  <c r="Y14" i="302"/>
  <c r="X10" i="302"/>
  <c r="U7" i="302"/>
  <c r="X6" i="302"/>
  <c r="U9" i="302"/>
  <c r="S12" i="302"/>
  <c r="S10" i="302"/>
  <c r="T11" i="302"/>
  <c r="Y11" i="302" s="1"/>
  <c r="U8" i="302"/>
  <c r="Q14" i="303" l="1"/>
  <c r="Q13" i="303"/>
  <c r="Q15" i="303" s="1"/>
  <c r="Q17" i="303" s="1"/>
  <c r="Q18" i="303" s="1"/>
  <c r="Q20" i="303" s="1"/>
  <c r="Q16" i="303"/>
  <c r="CR8" i="302"/>
  <c r="CL12" i="302" s="1"/>
  <c r="CO12" i="302" s="1"/>
  <c r="Y8" i="302"/>
  <c r="AC7" i="302" s="1"/>
  <c r="CO7" i="302"/>
  <c r="CP7" i="302" s="1"/>
  <c r="CQ7" i="302" s="1"/>
  <c r="CQ8" i="302" s="1"/>
  <c r="CL11" i="302" s="1"/>
  <c r="AY30" i="302"/>
  <c r="AY54" i="302" s="1"/>
  <c r="AY39" i="302"/>
  <c r="BB34" i="302" s="1"/>
  <c r="BB35" i="302" s="1"/>
  <c r="AY21" i="302"/>
  <c r="AY42" i="302"/>
  <c r="AY46" i="302" s="1"/>
  <c r="BB39" i="302"/>
  <c r="AY45" i="302"/>
  <c r="AY47" i="302" s="1"/>
  <c r="BB12" i="302"/>
  <c r="BB30" i="302"/>
  <c r="AY12" i="302"/>
  <c r="BB7" i="302" s="1"/>
  <c r="BB8" i="302" s="1"/>
  <c r="BB21" i="302"/>
  <c r="S57" i="302"/>
  <c r="T43" i="302"/>
  <c r="U10" i="302"/>
  <c r="S13" i="302"/>
  <c r="X12" i="302" s="1"/>
  <c r="X9" i="302"/>
  <c r="T13" i="302"/>
  <c r="Y12" i="302" s="1"/>
  <c r="AC10" i="302" s="1"/>
  <c r="Y9" i="302"/>
  <c r="U12" i="302"/>
  <c r="X8" i="302"/>
  <c r="X19" i="302"/>
  <c r="X25" i="302"/>
  <c r="Z10" i="302"/>
  <c r="S44" i="302"/>
  <c r="T44" i="302" s="1"/>
  <c r="U38" i="302"/>
  <c r="U11" i="302"/>
  <c r="X11" i="302"/>
  <c r="S56" i="302"/>
  <c r="T42" i="302"/>
  <c r="Z8" i="302" l="1"/>
  <c r="AA7" i="302" s="1"/>
  <c r="AB7" i="302" s="1"/>
  <c r="R49" i="302"/>
  <c r="AK41" i="302"/>
  <c r="AK40" i="302"/>
  <c r="AL40" i="302" s="1"/>
  <c r="S49" i="302"/>
  <c r="CO14" i="302"/>
  <c r="CO16" i="302" s="1"/>
  <c r="CO19" i="302"/>
  <c r="CL13" i="302"/>
  <c r="CL15" i="302" s="1"/>
  <c r="CL18" i="302" s="1"/>
  <c r="CO13" i="302"/>
  <c r="CO15" i="302" s="1"/>
  <c r="CO17" i="302" s="1"/>
  <c r="BB25" i="302"/>
  <c r="BB26" i="302" s="1"/>
  <c r="AY48" i="302"/>
  <c r="Y21" i="302" s="1"/>
  <c r="AY55" i="302"/>
  <c r="AC11" i="302"/>
  <c r="X21" i="302"/>
  <c r="X27" i="302"/>
  <c r="Z12" i="302"/>
  <c r="AA10" i="302" s="1"/>
  <c r="AB10" i="302" s="1"/>
  <c r="BB16" i="302"/>
  <c r="BB18" i="302" s="1"/>
  <c r="AY53" i="302"/>
  <c r="BB9" i="302"/>
  <c r="BB10" i="302" s="1"/>
  <c r="BB36" i="302"/>
  <c r="BB37" i="302" s="1"/>
  <c r="AZ55" i="302" s="1"/>
  <c r="U13" i="302"/>
  <c r="X26" i="302"/>
  <c r="X20" i="302"/>
  <c r="Z11" i="302"/>
  <c r="T56" i="302"/>
  <c r="U42" i="302"/>
  <c r="V42" i="302" s="1"/>
  <c r="R58" i="302"/>
  <c r="T57" i="302"/>
  <c r="U43" i="302"/>
  <c r="V43" i="302" s="1"/>
  <c r="CO20" i="302" l="1"/>
  <c r="AL41" i="302"/>
  <c r="AM40" i="302" s="1"/>
  <c r="AK36" i="302"/>
  <c r="AK35" i="302"/>
  <c r="AK46" i="302"/>
  <c r="AK45" i="302"/>
  <c r="Y20" i="302"/>
  <c r="Y19" i="302"/>
  <c r="BB27" i="302"/>
  <c r="BB28" i="302" s="1"/>
  <c r="AZ54" i="302" s="1"/>
  <c r="BB44" i="302"/>
  <c r="BB46" i="302" s="1"/>
  <c r="AA11" i="302"/>
  <c r="AB11" i="302" s="1"/>
  <c r="BB17" i="302"/>
  <c r="BB19" i="302" s="1"/>
  <c r="AZ53" i="302" s="1"/>
  <c r="S58" i="302"/>
  <c r="T58" i="302" l="1"/>
  <c r="AL36" i="302"/>
  <c r="AL46" i="302"/>
  <c r="AL45" i="302"/>
  <c r="AL35" i="302"/>
  <c r="BB45" i="302"/>
  <c r="BB47" i="302" s="1"/>
  <c r="U57" i="302"/>
  <c r="U56" i="302"/>
  <c r="AM45" i="302" l="1"/>
  <c r="AM35" i="302"/>
  <c r="Y26" i="302"/>
  <c r="Y25" i="302"/>
  <c r="Y27" i="302"/>
  <c r="R8" i="301" l="1"/>
  <c r="S8" i="301"/>
  <c r="R9" i="301"/>
  <c r="S9" i="301"/>
  <c r="R10" i="301"/>
  <c r="S10" i="301"/>
  <c r="R11" i="301"/>
  <c r="S11" i="301"/>
  <c r="R12" i="301"/>
  <c r="S12" i="301"/>
  <c r="R13" i="301"/>
  <c r="S13" i="301"/>
  <c r="R14" i="301"/>
  <c r="S14" i="301"/>
  <c r="R15" i="301"/>
  <c r="S15" i="301"/>
  <c r="R16" i="301"/>
  <c r="S16" i="301"/>
  <c r="J8" i="301"/>
  <c r="K8" i="301"/>
  <c r="J9" i="301"/>
  <c r="K9" i="301"/>
  <c r="J10" i="301"/>
  <c r="K10" i="301"/>
  <c r="J11" i="301"/>
  <c r="K11" i="301"/>
  <c r="J12" i="301"/>
  <c r="K12" i="301"/>
  <c r="J13" i="301"/>
  <c r="K13" i="301"/>
  <c r="J14" i="301"/>
  <c r="K14" i="301"/>
  <c r="J15" i="301"/>
  <c r="K15" i="301"/>
  <c r="J16" i="301"/>
  <c r="K16" i="301"/>
  <c r="S7" i="301"/>
  <c r="R7" i="301"/>
  <c r="K7" i="301"/>
  <c r="J7" i="301"/>
  <c r="Q8" i="301"/>
  <c r="Q9" i="301" s="1"/>
  <c r="Q10" i="301" s="1"/>
  <c r="Q11" i="301" s="1"/>
  <c r="Q12" i="301" s="1"/>
  <c r="Q13" i="301" s="1"/>
  <c r="Q14" i="301" s="1"/>
  <c r="Q15" i="301" s="1"/>
  <c r="Q16" i="301" s="1"/>
  <c r="T23" i="301" s="1"/>
  <c r="I8" i="301"/>
  <c r="I9" i="301" s="1"/>
  <c r="I10" i="301" s="1"/>
  <c r="I11" i="301" s="1"/>
  <c r="I12" i="301" s="1"/>
  <c r="I13" i="301" s="1"/>
  <c r="I14" i="301" s="1"/>
  <c r="I15" i="301" s="1"/>
  <c r="I16" i="301" s="1"/>
  <c r="L23" i="301" s="1"/>
  <c r="B8" i="301"/>
  <c r="C8" i="301"/>
  <c r="B9" i="301"/>
  <c r="C9" i="301"/>
  <c r="B10" i="301"/>
  <c r="C10" i="301"/>
  <c r="B11" i="301"/>
  <c r="C11" i="301"/>
  <c r="B12" i="301"/>
  <c r="C12" i="301"/>
  <c r="B13" i="301"/>
  <c r="C13" i="301"/>
  <c r="B14" i="301"/>
  <c r="C14" i="301"/>
  <c r="B15" i="301"/>
  <c r="C15" i="301"/>
  <c r="B16" i="301"/>
  <c r="C16" i="301"/>
  <c r="C7" i="301"/>
  <c r="B7" i="301"/>
  <c r="A8" i="301"/>
  <c r="A9" i="301" s="1"/>
  <c r="A10" i="301" s="1"/>
  <c r="A11" i="301" s="1"/>
  <c r="A12" i="301" s="1"/>
  <c r="A13" i="301" s="1"/>
  <c r="A14" i="301" s="1"/>
  <c r="A15" i="301" s="1"/>
  <c r="A16" i="301" s="1"/>
  <c r="AK25" i="300"/>
  <c r="AL25" i="300" s="1"/>
  <c r="AM25" i="300" s="1"/>
  <c r="AN25" i="300" s="1"/>
  <c r="AO25" i="300" s="1"/>
  <c r="G15" i="300"/>
  <c r="D30" i="301" s="1"/>
  <c r="F15" i="300"/>
  <c r="C30" i="301" s="1"/>
  <c r="E15" i="300"/>
  <c r="B30" i="301" s="1"/>
  <c r="D15" i="300"/>
  <c r="D29" i="301" s="1"/>
  <c r="C15" i="300"/>
  <c r="C29" i="301" s="1"/>
  <c r="B15" i="300"/>
  <c r="B29" i="301" s="1"/>
  <c r="O14" i="300"/>
  <c r="N14" i="300"/>
  <c r="M14" i="300"/>
  <c r="K14" i="300"/>
  <c r="J14" i="300"/>
  <c r="H14" i="300"/>
  <c r="O13" i="300"/>
  <c r="N13" i="300"/>
  <c r="M13" i="300"/>
  <c r="K13" i="300"/>
  <c r="J13" i="300"/>
  <c r="H13" i="300"/>
  <c r="O12" i="300"/>
  <c r="N12" i="300"/>
  <c r="M12" i="300"/>
  <c r="K12" i="300"/>
  <c r="J12" i="300"/>
  <c r="H12" i="300"/>
  <c r="O11" i="300"/>
  <c r="N11" i="300"/>
  <c r="M11" i="300"/>
  <c r="K11" i="300"/>
  <c r="J11" i="300"/>
  <c r="H11" i="300"/>
  <c r="O10" i="300"/>
  <c r="N10" i="300"/>
  <c r="M10" i="300"/>
  <c r="K10" i="300"/>
  <c r="J10" i="300"/>
  <c r="H10" i="300"/>
  <c r="O9" i="300"/>
  <c r="N9" i="300"/>
  <c r="M9" i="300"/>
  <c r="K9" i="300"/>
  <c r="J9" i="300"/>
  <c r="H9" i="300"/>
  <c r="O8" i="300"/>
  <c r="N8" i="300"/>
  <c r="M8" i="300"/>
  <c r="K8" i="300"/>
  <c r="J8" i="300"/>
  <c r="H8" i="300"/>
  <c r="S7" i="300"/>
  <c r="O7" i="300"/>
  <c r="N7" i="300"/>
  <c r="M7" i="300"/>
  <c r="K7" i="300"/>
  <c r="J7" i="300"/>
  <c r="H7" i="300"/>
  <c r="O6" i="300"/>
  <c r="N6" i="300"/>
  <c r="M6" i="300"/>
  <c r="K6" i="300"/>
  <c r="J6" i="300"/>
  <c r="H6" i="300"/>
  <c r="A6" i="300"/>
  <c r="A7" i="300" s="1"/>
  <c r="A8" i="300" s="1"/>
  <c r="A9" i="300" s="1"/>
  <c r="A10" i="300" s="1"/>
  <c r="A11" i="300" s="1"/>
  <c r="A12" i="300" s="1"/>
  <c r="O5" i="300"/>
  <c r="N5" i="300"/>
  <c r="M5" i="300"/>
  <c r="K5" i="300"/>
  <c r="J5" i="300"/>
  <c r="H5" i="300"/>
  <c r="AN4" i="300"/>
  <c r="AO4" i="300" s="1"/>
  <c r="AG4" i="300"/>
  <c r="S4" i="300"/>
  <c r="R4" i="300"/>
  <c r="T8" i="300" s="1"/>
  <c r="Y5" i="300" s="1"/>
  <c r="AW4" i="300" s="1"/>
  <c r="B13" i="298"/>
  <c r="C13" i="298" s="1"/>
  <c r="AA20" i="297"/>
  <c r="Z20" i="297"/>
  <c r="Y20" i="297"/>
  <c r="X20" i="297"/>
  <c r="K20" i="297"/>
  <c r="J20" i="297"/>
  <c r="I20" i="297"/>
  <c r="H20" i="297"/>
  <c r="AA19" i="297"/>
  <c r="Z19" i="297"/>
  <c r="Y19" i="297"/>
  <c r="X19" i="297"/>
  <c r="K19" i="297"/>
  <c r="J19" i="297"/>
  <c r="I19" i="297"/>
  <c r="H19" i="297"/>
  <c r="AA18" i="297"/>
  <c r="Z18" i="297"/>
  <c r="Y18" i="297"/>
  <c r="X18" i="297"/>
  <c r="K18" i="297"/>
  <c r="J18" i="297"/>
  <c r="I18" i="297"/>
  <c r="H18" i="297"/>
  <c r="AA17" i="297"/>
  <c r="Z17" i="297"/>
  <c r="Y17" i="297"/>
  <c r="X17" i="297"/>
  <c r="K17" i="297"/>
  <c r="J17" i="297"/>
  <c r="I17" i="297"/>
  <c r="H17" i="297"/>
  <c r="AA16" i="297"/>
  <c r="Z16" i="297"/>
  <c r="Y16" i="297"/>
  <c r="X16" i="297"/>
  <c r="K16" i="297"/>
  <c r="J16" i="297"/>
  <c r="I16" i="297"/>
  <c r="H16" i="297"/>
  <c r="AA15" i="297"/>
  <c r="Z15" i="297"/>
  <c r="Y15" i="297"/>
  <c r="X15" i="297"/>
  <c r="K15" i="297"/>
  <c r="J15" i="297"/>
  <c r="I15" i="297"/>
  <c r="H15" i="297"/>
  <c r="AA14" i="297"/>
  <c r="Z14" i="297"/>
  <c r="Y14" i="297"/>
  <c r="X14" i="297"/>
  <c r="K14" i="297"/>
  <c r="J14" i="297"/>
  <c r="I14" i="297"/>
  <c r="H14" i="297"/>
  <c r="AA13" i="297"/>
  <c r="Z13" i="297"/>
  <c r="Y13" i="297"/>
  <c r="X13" i="297"/>
  <c r="K13" i="297"/>
  <c r="J13" i="297"/>
  <c r="I13" i="297"/>
  <c r="H13" i="297"/>
  <c r="AA12" i="297"/>
  <c r="Z12" i="297"/>
  <c r="Y12" i="297"/>
  <c r="X12" i="297"/>
  <c r="K12" i="297"/>
  <c r="J12" i="297"/>
  <c r="I12" i="297"/>
  <c r="H12" i="297"/>
  <c r="AA11" i="297"/>
  <c r="Z11" i="297"/>
  <c r="Y11" i="297"/>
  <c r="X11" i="297"/>
  <c r="K11" i="297"/>
  <c r="J11" i="297"/>
  <c r="I11" i="297"/>
  <c r="H11" i="297"/>
  <c r="AA10" i="297"/>
  <c r="Z10" i="297"/>
  <c r="Y10" i="297"/>
  <c r="X10" i="297"/>
  <c r="K10" i="297"/>
  <c r="J10" i="297"/>
  <c r="I10" i="297"/>
  <c r="H10" i="297"/>
  <c r="AA9" i="297"/>
  <c r="Z9" i="297"/>
  <c r="Y9" i="297"/>
  <c r="X9" i="297"/>
  <c r="K9" i="297"/>
  <c r="J9" i="297"/>
  <c r="I9" i="297"/>
  <c r="H9" i="297"/>
  <c r="AA8" i="297"/>
  <c r="Z8" i="297"/>
  <c r="Y8" i="297"/>
  <c r="X8" i="297"/>
  <c r="K8" i="297"/>
  <c r="J8" i="297"/>
  <c r="I8" i="297"/>
  <c r="H8" i="297"/>
  <c r="AC7" i="297"/>
  <c r="AC8" i="297" s="1"/>
  <c r="AC9" i="297" s="1"/>
  <c r="AC10" i="297" s="1"/>
  <c r="AC11" i="297" s="1"/>
  <c r="AC12" i="297" s="1"/>
  <c r="AC13" i="297" s="1"/>
  <c r="AC14" i="297" s="1"/>
  <c r="AC15" i="297" s="1"/>
  <c r="AC16" i="297" s="1"/>
  <c r="AC17" i="297" s="1"/>
  <c r="AC18" i="297" s="1"/>
  <c r="AC19" i="297" s="1"/>
  <c r="AC20" i="297" s="1"/>
  <c r="AA7" i="297"/>
  <c r="Z7" i="297"/>
  <c r="Y7" i="297"/>
  <c r="X7" i="297"/>
  <c r="W7" i="297"/>
  <c r="W8" i="297" s="1"/>
  <c r="W9" i="297" s="1"/>
  <c r="W10" i="297" s="1"/>
  <c r="W11" i="297" s="1"/>
  <c r="W12" i="297" s="1"/>
  <c r="W13" i="297" s="1"/>
  <c r="W14" i="297" s="1"/>
  <c r="W15" i="297" s="1"/>
  <c r="W16" i="297" s="1"/>
  <c r="W17" i="297" s="1"/>
  <c r="W18" i="297" s="1"/>
  <c r="W19" i="297" s="1"/>
  <c r="W20" i="297" s="1"/>
  <c r="K7" i="297"/>
  <c r="J7" i="297"/>
  <c r="I7" i="297"/>
  <c r="H7" i="297"/>
  <c r="AA6" i="297"/>
  <c r="Z6" i="297"/>
  <c r="Y6" i="297"/>
  <c r="X6" i="297"/>
  <c r="K6" i="297"/>
  <c r="J6" i="297"/>
  <c r="I6" i="297"/>
  <c r="H6" i="297"/>
  <c r="G6" i="297"/>
  <c r="K5" i="297"/>
  <c r="J5" i="297"/>
  <c r="I5" i="297"/>
  <c r="H5" i="297"/>
  <c r="G5" i="297"/>
  <c r="A5" i="297"/>
  <c r="G7" i="297" s="1"/>
  <c r="A6" i="296"/>
  <c r="A7" i="296" s="1"/>
  <c r="A8" i="296" s="1"/>
  <c r="A9" i="296" s="1"/>
  <c r="A10" i="296" s="1"/>
  <c r="A11" i="296" s="1"/>
  <c r="A12" i="296" s="1"/>
  <c r="A13" i="296" s="1"/>
  <c r="A14" i="296" s="1"/>
  <c r="A15" i="296" s="1"/>
  <c r="A16" i="296" s="1"/>
  <c r="A17" i="296" s="1"/>
  <c r="A18" i="296" s="1"/>
  <c r="A19" i="296" s="1"/>
  <c r="D26" i="296" s="1"/>
  <c r="E4" i="296"/>
  <c r="D4" i="296"/>
  <c r="C4" i="296"/>
  <c r="AN9" i="300" l="1"/>
  <c r="AO9" i="300"/>
  <c r="AG8" i="300"/>
  <c r="AG14" i="297"/>
  <c r="AI17" i="297"/>
  <c r="AI18" i="297"/>
  <c r="AI19" i="297"/>
  <c r="AF7" i="297"/>
  <c r="AG11" i="297"/>
  <c r="A6" i="297"/>
  <c r="G8" i="297" s="1"/>
  <c r="AF8" i="297"/>
  <c r="AG12" i="297"/>
  <c r="AG13" i="297"/>
  <c r="AD16" i="297"/>
  <c r="AF18" i="297"/>
  <c r="AJ4" i="300"/>
  <c r="AJ20" i="300" s="1"/>
  <c r="AW7" i="300" s="1"/>
  <c r="AE9" i="297"/>
  <c r="AI12" i="297"/>
  <c r="AH19" i="297"/>
  <c r="AE16" i="297"/>
  <c r="AA7" i="301"/>
  <c r="AD8" i="297"/>
  <c r="L10" i="297"/>
  <c r="AD10" i="297"/>
  <c r="AE11" i="297"/>
  <c r="AI14" i="297"/>
  <c r="AG15" i="297"/>
  <c r="Z16" i="301"/>
  <c r="Z14" i="301"/>
  <c r="Z12" i="301"/>
  <c r="Z10" i="301"/>
  <c r="AA15" i="301"/>
  <c r="AA13" i="301"/>
  <c r="AA11" i="301"/>
  <c r="AA9" i="301"/>
  <c r="J22" i="297"/>
  <c r="AH9" i="297"/>
  <c r="AH10" i="297"/>
  <c r="AH12" i="297"/>
  <c r="AD13" i="297"/>
  <c r="AE13" i="297"/>
  <c r="AI15" i="297"/>
  <c r="AG17" i="297"/>
  <c r="L19" i="297"/>
  <c r="L18" i="297"/>
  <c r="AE18" i="297"/>
  <c r="L8" i="301"/>
  <c r="Z8" i="301"/>
  <c r="I22" i="297"/>
  <c r="L9" i="297"/>
  <c r="AD9" i="297"/>
  <c r="AF9" i="297"/>
  <c r="AH11" i="297"/>
  <c r="AI11" i="297"/>
  <c r="L13" i="297"/>
  <c r="L15" i="297"/>
  <c r="AD15" i="297"/>
  <c r="AF15" i="297"/>
  <c r="AH17" i="297"/>
  <c r="AI20" i="297"/>
  <c r="Z15" i="301"/>
  <c r="Z13" i="301"/>
  <c r="Z11" i="301"/>
  <c r="Z9" i="301"/>
  <c r="AA16" i="301"/>
  <c r="T14" i="301"/>
  <c r="AA14" i="301"/>
  <c r="AA12" i="301"/>
  <c r="AA10" i="301"/>
  <c r="T8" i="301"/>
  <c r="AA8" i="301"/>
  <c r="AE10" i="297"/>
  <c r="AF10" i="297"/>
  <c r="L16" i="297"/>
  <c r="L17" i="297"/>
  <c r="F18" i="296"/>
  <c r="AE7" i="297"/>
  <c r="L11" i="297"/>
  <c r="AF13" i="297"/>
  <c r="AH16" i="297"/>
  <c r="AF16" i="297"/>
  <c r="AG19" i="297"/>
  <c r="Z7" i="301"/>
  <c r="B47" i="301"/>
  <c r="B48" i="301" s="1"/>
  <c r="L15" i="301"/>
  <c r="D16" i="301"/>
  <c r="D10" i="301"/>
  <c r="D14" i="301"/>
  <c r="D12" i="301"/>
  <c r="D8" i="301"/>
  <c r="D7" i="301"/>
  <c r="D13" i="301"/>
  <c r="D9" i="301"/>
  <c r="L14" i="301"/>
  <c r="T13" i="301"/>
  <c r="L16" i="301"/>
  <c r="L12" i="301"/>
  <c r="L10" i="301"/>
  <c r="T15" i="301"/>
  <c r="T11" i="301"/>
  <c r="T9" i="301"/>
  <c r="D15" i="301"/>
  <c r="D11" i="301"/>
  <c r="L11" i="301"/>
  <c r="T16" i="301"/>
  <c r="T12" i="301"/>
  <c r="T10" i="301"/>
  <c r="L7" i="301"/>
  <c r="J15" i="300"/>
  <c r="L13" i="301"/>
  <c r="L9" i="301"/>
  <c r="T7" i="301"/>
  <c r="D23" i="301"/>
  <c r="A13" i="300"/>
  <c r="A14" i="300" s="1"/>
  <c r="O15" i="300"/>
  <c r="K15" i="300"/>
  <c r="T9" i="300"/>
  <c r="Y7" i="300" s="1"/>
  <c r="AR36" i="300"/>
  <c r="R13" i="300"/>
  <c r="S13" i="300" s="1"/>
  <c r="AR4" i="300"/>
  <c r="M15" i="300"/>
  <c r="AR35" i="300"/>
  <c r="T11" i="300"/>
  <c r="R10" i="300"/>
  <c r="S10" i="300" s="1"/>
  <c r="X13" i="300"/>
  <c r="R15" i="300"/>
  <c r="S15" i="300" s="1"/>
  <c r="N15" i="300"/>
  <c r="H15" i="300"/>
  <c r="D13" i="298"/>
  <c r="K22" i="297"/>
  <c r="K21" i="297"/>
  <c r="AE6" i="297"/>
  <c r="X21" i="297"/>
  <c r="AD6" i="297"/>
  <c r="AI7" i="297"/>
  <c r="AI13" i="297"/>
  <c r="AG18" i="297"/>
  <c r="AH18" i="297"/>
  <c r="AD19" i="297"/>
  <c r="AF19" i="297"/>
  <c r="AF20" i="297"/>
  <c r="AE20" i="297"/>
  <c r="AF6" i="297"/>
  <c r="AI10" i="297"/>
  <c r="AG10" i="297"/>
  <c r="L14" i="297"/>
  <c r="AI16" i="297"/>
  <c r="AG16" i="297"/>
  <c r="AF17" i="297"/>
  <c r="AE17" i="297"/>
  <c r="AE19" i="297"/>
  <c r="AH20" i="297"/>
  <c r="AG20" i="297"/>
  <c r="AD20" i="297"/>
  <c r="Z21" i="297"/>
  <c r="AI6" i="297"/>
  <c r="AG6" i="297"/>
  <c r="Y21" i="297"/>
  <c r="AH7" i="297"/>
  <c r="AG7" i="297"/>
  <c r="AD7" i="297"/>
  <c r="AI8" i="297"/>
  <c r="AG8" i="297"/>
  <c r="AF12" i="297"/>
  <c r="AE12" i="297"/>
  <c r="AD12" i="297"/>
  <c r="AD14" i="297"/>
  <c r="AF14" i="297"/>
  <c r="AE14" i="297"/>
  <c r="AD17" i="297"/>
  <c r="I21" i="297"/>
  <c r="AI9" i="297"/>
  <c r="AG9" i="297"/>
  <c r="AD11" i="297"/>
  <c r="AF11" i="297"/>
  <c r="L12" i="297"/>
  <c r="AH13" i="297"/>
  <c r="AD18" i="297"/>
  <c r="J21" i="297"/>
  <c r="H26" i="297"/>
  <c r="B5" i="299" s="1"/>
  <c r="AA21" i="297"/>
  <c r="AH6" i="297"/>
  <c r="L7" i="297"/>
  <c r="H22" i="297"/>
  <c r="H21" i="297"/>
  <c r="L8" i="297"/>
  <c r="AH8" i="297"/>
  <c r="AE8" i="297"/>
  <c r="AH15" i="297"/>
  <c r="AE15" i="297"/>
  <c r="L20" i="297"/>
  <c r="AH14" i="297"/>
  <c r="L6" i="297"/>
  <c r="O8" i="297"/>
  <c r="H25" i="297"/>
  <c r="B6" i="299" s="1"/>
  <c r="B18" i="299" s="1"/>
  <c r="F6" i="296"/>
  <c r="F10" i="296"/>
  <c r="F14" i="296"/>
  <c r="F5" i="296"/>
  <c r="F7" i="296"/>
  <c r="F9" i="296"/>
  <c r="F11" i="296"/>
  <c r="F13" i="296"/>
  <c r="F15" i="296"/>
  <c r="F17" i="296"/>
  <c r="F19" i="296"/>
  <c r="F8" i="296"/>
  <c r="F12" i="296"/>
  <c r="F16" i="296"/>
  <c r="AA28" i="297" l="1"/>
  <c r="AB7" i="301"/>
  <c r="AB14" i="301"/>
  <c r="AB13" i="301"/>
  <c r="AB10" i="301"/>
  <c r="A7" i="297"/>
  <c r="A8" i="297" s="1"/>
  <c r="AJ14" i="300"/>
  <c r="AB16" i="301"/>
  <c r="AB15" i="301"/>
  <c r="T4" i="300"/>
  <c r="R11" i="300" s="1"/>
  <c r="S11" i="300" s="1"/>
  <c r="AB12" i="301"/>
  <c r="AB9" i="301"/>
  <c r="AB8" i="301"/>
  <c r="AB11" i="301"/>
  <c r="B17" i="299"/>
  <c r="B21" i="299" s="1"/>
  <c r="E6" i="298"/>
  <c r="C9" i="298"/>
  <c r="B9" i="298"/>
  <c r="D9" i="298"/>
  <c r="E8" i="298"/>
  <c r="E5" i="298"/>
  <c r="A9" i="298"/>
  <c r="AA26" i="297"/>
  <c r="AA27" i="297"/>
  <c r="E7" i="298"/>
  <c r="D18" i="301"/>
  <c r="D19" i="301" s="1"/>
  <c r="B23" i="301" s="1"/>
  <c r="L18" i="301"/>
  <c r="L19" i="301" s="1"/>
  <c r="J23" i="301" s="1"/>
  <c r="T18" i="301"/>
  <c r="T19" i="301" s="1"/>
  <c r="R23" i="301" s="1"/>
  <c r="L17" i="301"/>
  <c r="T12" i="300"/>
  <c r="Y9" i="300" s="1"/>
  <c r="AW20" i="300" s="1"/>
  <c r="AG7" i="300"/>
  <c r="T17" i="301"/>
  <c r="AO8" i="300"/>
  <c r="D17" i="301"/>
  <c r="AV25" i="300"/>
  <c r="T15" i="300"/>
  <c r="U15" i="300" s="1"/>
  <c r="AP28" i="300"/>
  <c r="AP31" i="300"/>
  <c r="AK32" i="300"/>
  <c r="AP30" i="300"/>
  <c r="AO32" i="300"/>
  <c r="AL32" i="300"/>
  <c r="AP29" i="300"/>
  <c r="AJ7" i="300"/>
  <c r="AF8" i="300"/>
  <c r="AJ5" i="300" s="1"/>
  <c r="AF7" i="300"/>
  <c r="AJ6" i="300"/>
  <c r="AJ32" i="300"/>
  <c r="AP26" i="300"/>
  <c r="AP27" i="300"/>
  <c r="AM32" i="300"/>
  <c r="AN8" i="300"/>
  <c r="X11" i="300"/>
  <c r="AR20" i="300"/>
  <c r="AR14" i="300"/>
  <c r="AW12" i="300"/>
  <c r="AN32" i="300"/>
  <c r="AM8" i="300"/>
  <c r="AR6" i="300"/>
  <c r="AM9" i="300"/>
  <c r="AR5" i="300" s="1"/>
  <c r="AR7" i="300"/>
  <c r="G22" i="298"/>
  <c r="G14" i="298"/>
  <c r="AR14" i="297"/>
  <c r="O6" i="297"/>
  <c r="J37" i="297"/>
  <c r="P8" i="297"/>
  <c r="P5" i="297"/>
  <c r="AI23" i="297"/>
  <c r="J39" i="297"/>
  <c r="AR6" i="297"/>
  <c r="J38" i="297"/>
  <c r="O5" i="297"/>
  <c r="AR5" i="297"/>
  <c r="P6" i="297"/>
  <c r="AI21" i="297"/>
  <c r="AI22" i="297"/>
  <c r="K34" i="297"/>
  <c r="J40" i="297"/>
  <c r="AR7" i="297"/>
  <c r="H34" i="297"/>
  <c r="J41" i="297"/>
  <c r="AN9" i="297"/>
  <c r="AR8" i="297"/>
  <c r="AL9" i="297"/>
  <c r="AO9" i="297"/>
  <c r="AD23" i="297"/>
  <c r="AA25" i="297"/>
  <c r="AF23" i="297"/>
  <c r="AE23" i="297"/>
  <c r="AF22" i="297"/>
  <c r="AF21" i="297"/>
  <c r="AE22" i="297"/>
  <c r="AE21" i="297"/>
  <c r="AH23" i="297"/>
  <c r="AG23" i="297"/>
  <c r="AH21" i="297"/>
  <c r="AH22" i="297"/>
  <c r="I34" i="297"/>
  <c r="L22" i="297"/>
  <c r="L21" i="297"/>
  <c r="AG22" i="297"/>
  <c r="AG21" i="297"/>
  <c r="AD22" i="297"/>
  <c r="AD21" i="297"/>
  <c r="J34" i="297"/>
  <c r="AM9" i="297"/>
  <c r="F21" i="296"/>
  <c r="F22" i="296" s="1"/>
  <c r="B26" i="296" s="1"/>
  <c r="F20" i="296"/>
  <c r="F23" i="301" l="1"/>
  <c r="G9" i="297"/>
  <c r="AJ13" i="300"/>
  <c r="T10" i="300"/>
  <c r="Y11" i="300" s="1"/>
  <c r="AW24" i="300" s="1"/>
  <c r="R8" i="300"/>
  <c r="S8" i="300" s="1"/>
  <c r="X5" i="300" s="1"/>
  <c r="AR13" i="300"/>
  <c r="R9" i="300"/>
  <c r="S9" i="300" s="1"/>
  <c r="S16" i="300" s="1"/>
  <c r="X8" i="300" s="1"/>
  <c r="AB17" i="301"/>
  <c r="Y23" i="301" s="1"/>
  <c r="AB18" i="301"/>
  <c r="AB19" i="301" s="1"/>
  <c r="Z23" i="301" s="1"/>
  <c r="U4" i="300"/>
  <c r="T7" i="300" s="1"/>
  <c r="T13" i="300"/>
  <c r="U13" i="300" s="1"/>
  <c r="AJ8" i="300"/>
  <c r="AJ10" i="300" s="1"/>
  <c r="AJ9" i="300"/>
  <c r="E9" i="298"/>
  <c r="D16" i="298" s="1"/>
  <c r="AR9" i="300"/>
  <c r="N23" i="301"/>
  <c r="V23" i="301"/>
  <c r="I23" i="301"/>
  <c r="K23" i="301" s="1"/>
  <c r="Q23" i="301"/>
  <c r="S23" i="301" s="1"/>
  <c r="W23" i="301" s="1"/>
  <c r="A23" i="301"/>
  <c r="C23" i="301" s="1"/>
  <c r="AV24" i="300"/>
  <c r="AW15" i="300"/>
  <c r="AP32" i="300"/>
  <c r="AM39" i="300" s="1"/>
  <c r="AW21" i="300"/>
  <c r="AR8" i="300"/>
  <c r="AR10" i="300" s="1"/>
  <c r="U11" i="300"/>
  <c r="O23" i="297"/>
  <c r="AR15" i="297"/>
  <c r="AR10" i="297"/>
  <c r="P7" i="297"/>
  <c r="T6" i="297" s="1"/>
  <c r="AR9" i="297"/>
  <c r="AR11" i="297" s="1"/>
  <c r="J42" i="297"/>
  <c r="J44" i="297" s="1"/>
  <c r="Q5" i="297"/>
  <c r="G10" i="297"/>
  <c r="A9" i="297"/>
  <c r="J43" i="297"/>
  <c r="O7" i="297"/>
  <c r="O17" i="297"/>
  <c r="O12" i="297"/>
  <c r="Q6" i="297"/>
  <c r="O24" i="297"/>
  <c r="F26" i="296"/>
  <c r="A26" i="296"/>
  <c r="C26" i="296" s="1"/>
  <c r="U8" i="300" l="1"/>
  <c r="S14" i="300"/>
  <c r="X6" i="300" s="1"/>
  <c r="S12" i="300"/>
  <c r="X9" i="300" s="1"/>
  <c r="AX24" i="300"/>
  <c r="U10" i="300"/>
  <c r="T16" i="300"/>
  <c r="Y8" i="300" s="1"/>
  <c r="AW16" i="300" s="1"/>
  <c r="Z11" i="300"/>
  <c r="U9" i="300"/>
  <c r="X7" i="300"/>
  <c r="Z7" i="300" s="1"/>
  <c r="AD23" i="301"/>
  <c r="AR11" i="300"/>
  <c r="AW13" i="300" s="1"/>
  <c r="AA23" i="301"/>
  <c r="AE23" i="301" s="1"/>
  <c r="AJ11" i="300"/>
  <c r="AJ15" i="300" s="1"/>
  <c r="T14" i="300"/>
  <c r="Y6" i="300" s="1"/>
  <c r="AC5" i="300" s="1"/>
  <c r="U7" i="300"/>
  <c r="Y13" i="300"/>
  <c r="G23" i="301"/>
  <c r="B52" i="301"/>
  <c r="B53" i="301" s="1"/>
  <c r="A17" i="298"/>
  <c r="AC23" i="301"/>
  <c r="A15" i="298"/>
  <c r="C14" i="298"/>
  <c r="B14" i="298"/>
  <c r="C16" i="298"/>
  <c r="C18" i="298" s="1"/>
  <c r="D15" i="298"/>
  <c r="B16" i="298"/>
  <c r="B17" i="298"/>
  <c r="A16" i="298"/>
  <c r="A14" i="298"/>
  <c r="AM40" i="300"/>
  <c r="AO35" i="300"/>
  <c r="AR12" i="297"/>
  <c r="AR16" i="297" s="1"/>
  <c r="AR17" i="297" s="1"/>
  <c r="AM37" i="300"/>
  <c r="AN39" i="300"/>
  <c r="D14" i="298"/>
  <c r="B15" i="298"/>
  <c r="B18" i="298" s="1"/>
  <c r="D17" i="298"/>
  <c r="C15" i="298"/>
  <c r="C17" i="298"/>
  <c r="M23" i="301"/>
  <c r="O23" i="301"/>
  <c r="U23" i="301"/>
  <c r="E23" i="301"/>
  <c r="Z5" i="300"/>
  <c r="AV4" i="300"/>
  <c r="AN38" i="300"/>
  <c r="AJ37" i="300"/>
  <c r="AL37" i="300"/>
  <c r="AN36" i="300"/>
  <c r="AK40" i="300"/>
  <c r="AK36" i="300"/>
  <c r="AO36" i="300"/>
  <c r="AV12" i="300"/>
  <c r="AL39" i="300"/>
  <c r="AN37" i="300"/>
  <c r="AL38" i="300"/>
  <c r="AK37" i="300"/>
  <c r="AO37" i="300"/>
  <c r="AO39" i="300"/>
  <c r="AJ39" i="300"/>
  <c r="AN40" i="300"/>
  <c r="AM35" i="300"/>
  <c r="AK39" i="300"/>
  <c r="AM38" i="300"/>
  <c r="AO38" i="300"/>
  <c r="AK38" i="300"/>
  <c r="AJ36" i="300"/>
  <c r="AL40" i="300"/>
  <c r="AJ38" i="300"/>
  <c r="AM36" i="300"/>
  <c r="AL35" i="300"/>
  <c r="AJ35" i="300"/>
  <c r="AJ40" i="300"/>
  <c r="AL36" i="300"/>
  <c r="AK35" i="300"/>
  <c r="AO40" i="300"/>
  <c r="AV16" i="300"/>
  <c r="AN35" i="300"/>
  <c r="O18" i="297"/>
  <c r="O13" i="297"/>
  <c r="Q7" i="297"/>
  <c r="R5" i="297" s="1"/>
  <c r="S5" i="297" s="1"/>
  <c r="G11" i="297"/>
  <c r="A10" i="297"/>
  <c r="J45" i="297"/>
  <c r="AR21" i="297"/>
  <c r="T5" i="297"/>
  <c r="O25" i="297"/>
  <c r="G26" i="296"/>
  <c r="E26" i="296"/>
  <c r="S17" i="300" l="1"/>
  <c r="X10" i="300" s="1"/>
  <c r="U12" i="300"/>
  <c r="AC7" i="300"/>
  <c r="Z8" i="300"/>
  <c r="AA7" i="300" s="1"/>
  <c r="AB7" i="300" s="1"/>
  <c r="U16" i="300"/>
  <c r="U14" i="300"/>
  <c r="AR15" i="300"/>
  <c r="AR16" i="300" s="1"/>
  <c r="T17" i="300"/>
  <c r="Y10" i="300" s="1"/>
  <c r="AW22" i="300" s="1"/>
  <c r="AW23" i="300" s="1"/>
  <c r="BA21" i="300" s="1"/>
  <c r="AW8" i="300"/>
  <c r="AW5" i="300"/>
  <c r="AW25" i="300"/>
  <c r="AX25" i="300" s="1"/>
  <c r="Z13" i="300"/>
  <c r="AR18" i="297"/>
  <c r="AR19" i="297" s="1"/>
  <c r="D18" i="298"/>
  <c r="A18" i="298"/>
  <c r="G16" i="298"/>
  <c r="AJ17" i="300"/>
  <c r="AJ16" i="300"/>
  <c r="AV8" i="300"/>
  <c r="Z6" i="300"/>
  <c r="AA5" i="300" s="1"/>
  <c r="AB5" i="300" s="1"/>
  <c r="AW19" i="300"/>
  <c r="AW17" i="300"/>
  <c r="BA12" i="300"/>
  <c r="AV20" i="300"/>
  <c r="Z9" i="300"/>
  <c r="AV15" i="300"/>
  <c r="AX15" i="300" s="1"/>
  <c r="AV14" i="300"/>
  <c r="AX12" i="300"/>
  <c r="AV13" i="300"/>
  <c r="AX13" i="300" s="1"/>
  <c r="AX16" i="300"/>
  <c r="AV19" i="300"/>
  <c r="AV18" i="300"/>
  <c r="AV17" i="300"/>
  <c r="AV6" i="300"/>
  <c r="AX4" i="300"/>
  <c r="AV5" i="300"/>
  <c r="AV7" i="300"/>
  <c r="AX7" i="300" s="1"/>
  <c r="J46" i="297"/>
  <c r="J47" i="297"/>
  <c r="P12" i="297"/>
  <c r="R6" i="297"/>
  <c r="S6" i="297" s="1"/>
  <c r="G12" i="297"/>
  <c r="A11" i="297"/>
  <c r="P13" i="297"/>
  <c r="Q13" i="297" s="1"/>
  <c r="O27" i="297" s="1"/>
  <c r="A5" i="294"/>
  <c r="A6" i="294" s="1"/>
  <c r="A7" i="294" s="1"/>
  <c r="A8" i="294" s="1"/>
  <c r="A9" i="294" s="1"/>
  <c r="A10" i="294" s="1"/>
  <c r="A11" i="294" s="1"/>
  <c r="A12" i="294" s="1"/>
  <c r="A13" i="294" s="1"/>
  <c r="A14" i="294" s="1"/>
  <c r="A15" i="294" s="1"/>
  <c r="A16" i="294" s="1"/>
  <c r="A17" i="294" s="1"/>
  <c r="A18" i="294" s="1"/>
  <c r="A6" i="290"/>
  <c r="BA15" i="300" l="1"/>
  <c r="BA4" i="300"/>
  <c r="BA13" i="300"/>
  <c r="A7" i="290"/>
  <c r="P20" i="290"/>
  <c r="P32" i="290"/>
  <c r="P8" i="290"/>
  <c r="BA20" i="300"/>
  <c r="AR17" i="300"/>
  <c r="AR18" i="300" s="1"/>
  <c r="AW14" i="300" s="1"/>
  <c r="AX14" i="300" s="1"/>
  <c r="U17" i="300"/>
  <c r="AC9" i="300"/>
  <c r="AW11" i="300"/>
  <c r="AW9" i="300"/>
  <c r="AX5" i="300"/>
  <c r="J48" i="297"/>
  <c r="P17" i="297" s="1"/>
  <c r="AJ18" i="300"/>
  <c r="AW6" i="300" s="1"/>
  <c r="AX6" i="300" s="1"/>
  <c r="G15" i="298"/>
  <c r="G17" i="298" s="1"/>
  <c r="AX17" i="300"/>
  <c r="AY13" i="300" s="1"/>
  <c r="G23" i="298"/>
  <c r="G24" i="298"/>
  <c r="B7" i="299"/>
  <c r="B9" i="299" s="1"/>
  <c r="B11" i="299" s="1"/>
  <c r="B13" i="299" s="1"/>
  <c r="AX20" i="300"/>
  <c r="AV21" i="300"/>
  <c r="AX21" i="300" s="1"/>
  <c r="AR37" i="300"/>
  <c r="AR38" i="300"/>
  <c r="AV10" i="300"/>
  <c r="AV11" i="300"/>
  <c r="AV9" i="300"/>
  <c r="AX8" i="300"/>
  <c r="AY4" i="300" s="1"/>
  <c r="AV22" i="300"/>
  <c r="Z10" i="300"/>
  <c r="AA9" i="300" s="1"/>
  <c r="AB9" i="300" s="1"/>
  <c r="AX19" i="300"/>
  <c r="AY15" i="300" s="1"/>
  <c r="AY12" i="300"/>
  <c r="A12" i="297"/>
  <c r="G13" i="297"/>
  <c r="T12" i="297"/>
  <c r="Q12" i="297"/>
  <c r="BA7" i="300" l="1"/>
  <c r="BA5" i="300"/>
  <c r="A8" i="290"/>
  <c r="P21" i="290"/>
  <c r="P33" i="290"/>
  <c r="P9" i="290"/>
  <c r="AX9" i="300"/>
  <c r="AY5" i="300" s="1"/>
  <c r="AX11" i="300"/>
  <c r="AY7" i="300" s="1"/>
  <c r="P18" i="297"/>
  <c r="Q18" i="297" s="1"/>
  <c r="AW18" i="300"/>
  <c r="AW10" i="300"/>
  <c r="G25" i="298"/>
  <c r="B19" i="299" s="1"/>
  <c r="B20" i="299" s="1"/>
  <c r="B22" i="299" s="1"/>
  <c r="B24" i="299" s="1"/>
  <c r="AR39" i="300"/>
  <c r="AV23" i="300"/>
  <c r="AX23" i="300" s="1"/>
  <c r="AY21" i="300" s="1"/>
  <c r="AZ21" i="300" s="1"/>
  <c r="AX22" i="300"/>
  <c r="AY20" i="300" s="1"/>
  <c r="AZ20" i="300" s="1"/>
  <c r="Q17" i="297"/>
  <c r="G14" i="297"/>
  <c r="A13" i="297"/>
  <c r="O26" i="297"/>
  <c r="R12" i="297"/>
  <c r="S12" i="297" s="1"/>
  <c r="BA6" i="300" l="1"/>
  <c r="AX18" i="300"/>
  <c r="AY14" i="300" s="1"/>
  <c r="A9" i="290"/>
  <c r="P22" i="290"/>
  <c r="P10" i="290"/>
  <c r="P34" i="290"/>
  <c r="T17" i="297"/>
  <c r="R17" i="297"/>
  <c r="S17" i="297" s="1"/>
  <c r="BA14" i="300"/>
  <c r="AX10" i="300"/>
  <c r="AY6" i="300" s="1"/>
  <c r="G15" i="297"/>
  <c r="A14" i="297"/>
  <c r="O28" i="297"/>
  <c r="A10" i="290" l="1"/>
  <c r="P23" i="290"/>
  <c r="P11" i="290"/>
  <c r="P35" i="290"/>
  <c r="O29" i="297"/>
  <c r="O30" i="297" s="1"/>
  <c r="G16" i="297"/>
  <c r="A15" i="297"/>
  <c r="A11" i="290" l="1"/>
  <c r="P36" i="290"/>
  <c r="P24" i="290"/>
  <c r="P12" i="290"/>
  <c r="G17" i="297"/>
  <c r="A16" i="297"/>
  <c r="A12" i="290" l="1"/>
  <c r="P25" i="290"/>
  <c r="P37" i="290"/>
  <c r="P13" i="290"/>
  <c r="G18" i="297"/>
  <c r="A17" i="297"/>
  <c r="P38" i="290" l="1"/>
  <c r="P26" i="290"/>
  <c r="P14" i="290"/>
  <c r="G19" i="297"/>
  <c r="A18" i="297"/>
  <c r="G20" i="297" s="1"/>
  <c r="N125" i="204" l="1"/>
  <c r="O125" i="204" s="1"/>
  <c r="P125" i="204" s="1"/>
  <c r="Q125" i="204" s="1"/>
  <c r="R125" i="204" s="1"/>
  <c r="S125" i="204" s="1"/>
  <c r="T125" i="204" s="1"/>
  <c r="U125" i="204" s="1"/>
  <c r="V125" i="204" s="1"/>
  <c r="W125" i="204" s="1"/>
  <c r="C125" i="204"/>
  <c r="D125" i="204" s="1"/>
  <c r="E125" i="204" s="1"/>
  <c r="F125" i="204" s="1"/>
  <c r="G125" i="204" s="1"/>
  <c r="H125" i="204" s="1"/>
  <c r="I125" i="204" s="1"/>
  <c r="J125" i="204" s="1"/>
  <c r="K125" i="204" s="1"/>
  <c r="L125" i="204" s="1"/>
  <c r="N95" i="204"/>
  <c r="O95" i="204" s="1"/>
  <c r="P95" i="204" s="1"/>
  <c r="Q95" i="204" s="1"/>
  <c r="R95" i="204" s="1"/>
  <c r="S95" i="204" s="1"/>
  <c r="T95" i="204" s="1"/>
  <c r="U95" i="204" s="1"/>
  <c r="V95" i="204" s="1"/>
  <c r="W95" i="204" s="1"/>
  <c r="C95" i="204"/>
  <c r="D95" i="204" s="1"/>
  <c r="E95" i="204" s="1"/>
  <c r="F95" i="204" s="1"/>
  <c r="G95" i="204" s="1"/>
  <c r="H95" i="204" s="1"/>
  <c r="I95" i="204" s="1"/>
  <c r="J95" i="204" s="1"/>
  <c r="K95" i="204" s="1"/>
  <c r="L95" i="204" s="1"/>
  <c r="N65" i="204"/>
  <c r="O65" i="204" s="1"/>
  <c r="P65" i="204" s="1"/>
  <c r="Q65" i="204" s="1"/>
  <c r="R65" i="204" s="1"/>
  <c r="S65" i="204" s="1"/>
  <c r="T65" i="204" s="1"/>
  <c r="U65" i="204" s="1"/>
  <c r="V65" i="204" s="1"/>
  <c r="W65" i="204" s="1"/>
  <c r="C65" i="204"/>
  <c r="D65" i="204" s="1"/>
  <c r="E65" i="204" s="1"/>
  <c r="F65" i="204" s="1"/>
  <c r="G65" i="204" s="1"/>
  <c r="H65" i="204" s="1"/>
  <c r="I65" i="204" s="1"/>
  <c r="J65" i="204" s="1"/>
  <c r="K65" i="204" s="1"/>
  <c r="L65" i="204" s="1"/>
  <c r="N35" i="204"/>
  <c r="O35" i="204" s="1"/>
  <c r="P35" i="204" s="1"/>
  <c r="Q35" i="204" s="1"/>
  <c r="R35" i="204" s="1"/>
  <c r="S35" i="204" s="1"/>
  <c r="T35" i="204" s="1"/>
  <c r="U35" i="204" s="1"/>
  <c r="V35" i="204" s="1"/>
  <c r="W35" i="204" s="1"/>
  <c r="C35" i="204"/>
  <c r="D35" i="204" s="1"/>
  <c r="E35" i="204" s="1"/>
  <c r="F35" i="204" s="1"/>
  <c r="G35" i="204" s="1"/>
  <c r="H35" i="204" s="1"/>
  <c r="I35" i="204" s="1"/>
  <c r="J35" i="204" s="1"/>
  <c r="K35" i="204" s="1"/>
  <c r="L35" i="204" s="1"/>
  <c r="N5" i="204"/>
  <c r="O5" i="204" s="1"/>
  <c r="P5" i="204" s="1"/>
  <c r="Q5" i="204" s="1"/>
  <c r="R5" i="204" s="1"/>
  <c r="S5" i="204" s="1"/>
  <c r="T5" i="204" s="1"/>
  <c r="U5" i="204" s="1"/>
  <c r="V5" i="204" s="1"/>
  <c r="W5" i="204" s="1"/>
  <c r="C5" i="204"/>
  <c r="D5" i="204" s="1"/>
  <c r="E5" i="204" s="1"/>
  <c r="F5" i="204" s="1"/>
  <c r="G5" i="204" s="1"/>
  <c r="H5" i="204" s="1"/>
  <c r="I5" i="204" s="1"/>
  <c r="J5" i="204" s="1"/>
  <c r="K5" i="204" s="1"/>
  <c r="L5" i="204" s="1"/>
  <c r="Z21" i="302" l="1"/>
  <c r="Z20" i="302" l="1"/>
  <c r="AA20" i="302" s="1"/>
  <c r="Z19" i="302"/>
  <c r="AA19" i="302" s="1"/>
  <c r="Z27" i="302" l="1"/>
  <c r="Z25" i="302" l="1"/>
  <c r="AA25" i="302" s="1"/>
  <c r="Z26" i="302"/>
  <c r="AA26" i="302" s="1"/>
  <c r="Q14" i="723" l="1"/>
  <c r="O7" i="723"/>
  <c r="P15" i="723"/>
  <c r="R8" i="723" l="1"/>
  <c r="Q15" i="723"/>
  <c r="O9" i="723" s="1"/>
  <c r="R6" i="723"/>
  <c r="R7" i="723" s="1"/>
  <c r="O6" i="723"/>
  <c r="O8" i="723"/>
  <c r="R14" i="723" l="1"/>
  <c r="S14" i="723" s="1"/>
  <c r="T14" i="723" s="1"/>
</calcChain>
</file>

<file path=xl/sharedStrings.xml><?xml version="1.0" encoding="utf-8"?>
<sst xmlns="http://schemas.openxmlformats.org/spreadsheetml/2006/main" count="4929" uniqueCount="863">
  <si>
    <t>Table of Contents</t>
  </si>
  <si>
    <t>Total</t>
  </si>
  <si>
    <t>Age</t>
  </si>
  <si>
    <t>Income</t>
  </si>
  <si>
    <t>x</t>
  </si>
  <si>
    <t>f</t>
  </si>
  <si>
    <t>mean</t>
  </si>
  <si>
    <t>var</t>
  </si>
  <si>
    <t>Mean</t>
  </si>
  <si>
    <t>Standard Error</t>
  </si>
  <si>
    <t>Sum</t>
  </si>
  <si>
    <t>Count</t>
  </si>
  <si>
    <t>Descriptive Statistics</t>
  </si>
  <si>
    <t>freq</t>
  </si>
  <si>
    <t>lower</t>
  </si>
  <si>
    <t>upper</t>
  </si>
  <si>
    <t>n</t>
  </si>
  <si>
    <t>Alpha</t>
  </si>
  <si>
    <t>Score</t>
  </si>
  <si>
    <t>Method 1</t>
  </si>
  <si>
    <t>Method 2</t>
  </si>
  <si>
    <t>a</t>
  </si>
  <si>
    <t>b</t>
  </si>
  <si>
    <t>c</t>
  </si>
  <si>
    <t>d</t>
  </si>
  <si>
    <t>row</t>
  </si>
  <si>
    <t>Method 3</t>
  </si>
  <si>
    <t>Method 4</t>
  </si>
  <si>
    <t>α</t>
  </si>
  <si>
    <t>Min</t>
  </si>
  <si>
    <t>Q1-Min</t>
  </si>
  <si>
    <t>Med-Q1</t>
  </si>
  <si>
    <t>Q3-Med</t>
  </si>
  <si>
    <t>Max-Q3</t>
  </si>
  <si>
    <t>k</t>
  </si>
  <si>
    <t>Subject</t>
  </si>
  <si>
    <t>Std Err</t>
  </si>
  <si>
    <t>df</t>
  </si>
  <si>
    <t>t stat</t>
  </si>
  <si>
    <t>SUMMARY</t>
  </si>
  <si>
    <t>t</t>
  </si>
  <si>
    <t>Cohen d</t>
  </si>
  <si>
    <t>T TEST</t>
  </si>
  <si>
    <t>p-value</t>
  </si>
  <si>
    <t>t-crit</t>
  </si>
  <si>
    <t>Old</t>
  </si>
  <si>
    <t>std dev</t>
  </si>
  <si>
    <t>Groups</t>
  </si>
  <si>
    <t>Variance</t>
  </si>
  <si>
    <t>Observations</t>
  </si>
  <si>
    <t>Pooled</t>
  </si>
  <si>
    <t>t Stat</t>
  </si>
  <si>
    <t>Before</t>
  </si>
  <si>
    <t>t-stat</t>
  </si>
  <si>
    <r>
      <t xml:space="preserve">Studentized Q Table - critical value for q(k, df, </t>
    </r>
    <r>
      <rPr>
        <b/>
        <sz val="11"/>
        <color theme="1"/>
        <rFont val="Calibri"/>
        <family val="2"/>
      </rPr>
      <t>α)</t>
    </r>
  </si>
  <si>
    <t xml:space="preserve">k --&gt; </t>
  </si>
  <si>
    <t>Inf</t>
  </si>
  <si>
    <t>p</t>
  </si>
  <si>
    <t>alpha</t>
  </si>
  <si>
    <t>χ2</t>
  </si>
  <si>
    <t>χ2-crit</t>
  </si>
  <si>
    <t>x-crit</t>
  </si>
  <si>
    <t>P-value</t>
  </si>
  <si>
    <t>r</t>
  </si>
  <si>
    <t>Effect size</t>
  </si>
  <si>
    <t>B</t>
  </si>
  <si>
    <t>C</t>
  </si>
  <si>
    <t>D</t>
  </si>
  <si>
    <t>F</t>
  </si>
  <si>
    <t>Rows</t>
  </si>
  <si>
    <t>Cols</t>
  </si>
  <si>
    <t>y</t>
  </si>
  <si>
    <t>White</t>
  </si>
  <si>
    <t>std error</t>
  </si>
  <si>
    <t>A</t>
  </si>
  <si>
    <t>count</t>
  </si>
  <si>
    <t>SS</t>
  </si>
  <si>
    <t>Regression</t>
  </si>
  <si>
    <t>MS</t>
  </si>
  <si>
    <t>F-crit</t>
  </si>
  <si>
    <t>R Square</t>
  </si>
  <si>
    <t>Regression Statistics</t>
  </si>
  <si>
    <t>Multiple R</t>
  </si>
  <si>
    <t>Adjusted R Square</t>
  </si>
  <si>
    <t>ANOVA</t>
  </si>
  <si>
    <t>Residual</t>
  </si>
  <si>
    <t>Intercept</t>
  </si>
  <si>
    <t>Significance F</t>
  </si>
  <si>
    <t>Coefficients</t>
  </si>
  <si>
    <t>Lower 95%</t>
  </si>
  <si>
    <t>Upper 95%</t>
  </si>
  <si>
    <t>Lower</t>
  </si>
  <si>
    <t>Upper</t>
  </si>
  <si>
    <t>X</t>
  </si>
  <si>
    <t>Y</t>
  </si>
  <si>
    <t>df2</t>
  </si>
  <si>
    <t>s.e.</t>
  </si>
  <si>
    <t>Interaction</t>
  </si>
  <si>
    <t>ANOVA: Single Factor</t>
  </si>
  <si>
    <t>DESCRIPTION</t>
  </si>
  <si>
    <t>Sources</t>
  </si>
  <si>
    <t>P value</t>
  </si>
  <si>
    <t xml:space="preserve"> F crit</t>
  </si>
  <si>
    <t>Between Groups</t>
  </si>
  <si>
    <t>Within Groups</t>
  </si>
  <si>
    <t>Anova: Single Factor</t>
  </si>
  <si>
    <t>Average</t>
  </si>
  <si>
    <t>Source of Variation</t>
  </si>
  <si>
    <t>F crit</t>
  </si>
  <si>
    <t>MSW</t>
  </si>
  <si>
    <t>T-TEST</t>
  </si>
  <si>
    <t>sig</t>
  </si>
  <si>
    <t>Tukey's HSD</t>
  </si>
  <si>
    <t>q-crit</t>
  </si>
  <si>
    <t>Contrast</t>
  </si>
  <si>
    <t>inf</t>
  </si>
  <si>
    <t>dfB</t>
  </si>
  <si>
    <t>dfW</t>
  </si>
  <si>
    <t>t1</t>
  </si>
  <si>
    <t>t2</t>
  </si>
  <si>
    <t>m</t>
  </si>
  <si>
    <t>Anova: Two-Factor Without Replication</t>
  </si>
  <si>
    <t>Error</t>
  </si>
  <si>
    <t>Columns</t>
  </si>
  <si>
    <t>Within</t>
  </si>
  <si>
    <t>MEAN</t>
  </si>
  <si>
    <t>A x B</t>
  </si>
  <si>
    <t>A x C</t>
  </si>
  <si>
    <t>B x C</t>
  </si>
  <si>
    <t>A x B x C</t>
  </si>
  <si>
    <t>AB Bet</t>
  </si>
  <si>
    <t>AC Bet</t>
  </si>
  <si>
    <t>BC Bet</t>
  </si>
  <si>
    <t>Counts</t>
  </si>
  <si>
    <t>t3</t>
  </si>
  <si>
    <t>R</t>
  </si>
  <si>
    <t>Normality</t>
  </si>
  <si>
    <t>dfE</t>
  </si>
  <si>
    <t>complete</t>
  </si>
  <si>
    <t>reduced</t>
  </si>
  <si>
    <t>difference</t>
  </si>
  <si>
    <t>R-Square</t>
  </si>
  <si>
    <t>AIC</t>
  </si>
  <si>
    <t>AICc</t>
  </si>
  <si>
    <t>COUNTS</t>
  </si>
  <si>
    <t>Subjects</t>
  </si>
  <si>
    <t>COVARIANCE MATRIX</t>
  </si>
  <si>
    <t>EPSILON</t>
  </si>
  <si>
    <t># Subjects</t>
  </si>
  <si>
    <t># Groups</t>
  </si>
  <si>
    <t>Means of Var</t>
  </si>
  <si>
    <t>Matrix Mean</t>
  </si>
  <si>
    <t>SS Matrix</t>
  </si>
  <si>
    <t>SS Row Means</t>
  </si>
  <si>
    <t>GG Numerator</t>
  </si>
  <si>
    <t>GG Denominator</t>
  </si>
  <si>
    <t>GG Epsilon</t>
  </si>
  <si>
    <t>HF Numerator</t>
  </si>
  <si>
    <t>HF Denominator</t>
  </si>
  <si>
    <t>HF Epsilon</t>
  </si>
  <si>
    <t>Greenhouse and Geisser</t>
  </si>
  <si>
    <t>Huyhn and Feldt</t>
  </si>
  <si>
    <t>Judge</t>
  </si>
  <si>
    <t>Wine</t>
  </si>
  <si>
    <t>Sample covariance matrix</t>
  </si>
  <si>
    <t>1 week</t>
  </si>
  <si>
    <t>2 weeks</t>
  </si>
  <si>
    <t>3 weeks</t>
  </si>
  <si>
    <t>1-month</t>
  </si>
  <si>
    <t>2-months</t>
  </si>
  <si>
    <t>3-months</t>
  </si>
  <si>
    <t>T0 - T1</t>
  </si>
  <si>
    <t>T0 - T2</t>
  </si>
  <si>
    <t>T0 - T3</t>
  </si>
  <si>
    <t>T1 - T2</t>
  </si>
  <si>
    <t>T1 - T3</t>
  </si>
  <si>
    <t>T2 - T3</t>
  </si>
  <si>
    <t>T0</t>
  </si>
  <si>
    <t>T1</t>
  </si>
  <si>
    <t>T2</t>
  </si>
  <si>
    <t>T3</t>
  </si>
  <si>
    <t>ANOVA with matched samples - contrasts</t>
  </si>
  <si>
    <t>Diff</t>
  </si>
  <si>
    <t>std err</t>
  </si>
  <si>
    <t>t-score</t>
  </si>
  <si>
    <t>=AVERAGE(H22:K22)</t>
  </si>
  <si>
    <t>=AVERAGE(H30:K33)</t>
  </si>
  <si>
    <t>=AR5</t>
  </si>
  <si>
    <t>=COUNTA(G6:G20)</t>
  </si>
  <si>
    <t>=COUNTA(H5:K5)</t>
  </si>
  <si>
    <t>Testing for sphericity</t>
  </si>
  <si>
    <t>effect d</t>
  </si>
  <si>
    <t>effect r</t>
  </si>
  <si>
    <t>=SUMSQ(AL5:AO8)</t>
  </si>
  <si>
    <t>=SUMSQ(AL9:AO9)</t>
  </si>
  <si>
    <t>=(AR5*(AR6-AR7))^2</t>
  </si>
  <si>
    <t>=(AR5-1)*(AR8-2*AR5*AR9+AR5^2*AR7^2)</t>
  </si>
  <si>
    <t>=AR10/AR11</t>
  </si>
  <si>
    <t>=AR12</t>
  </si>
  <si>
    <t>=AR14*(AR15-1)*AR16-2</t>
  </si>
  <si>
    <t>=(AR15-1)*(AR14-1-(AR15-1)*AR16)</t>
  </si>
  <si>
    <t>=MIN(AR17/AR18,1)</t>
  </si>
  <si>
    <t>Effect size (omega squared) using GG epsilon</t>
  </si>
  <si>
    <t>Lower Bound</t>
  </si>
  <si>
    <t>=1/(AR15-1)</t>
  </si>
  <si>
    <t>MS Subj</t>
  </si>
  <si>
    <t>MS Grps</t>
  </si>
  <si>
    <t>MS Error</t>
  </si>
  <si>
    <t>Num</t>
  </si>
  <si>
    <t>Den</t>
  </si>
  <si>
    <t>Omega^2</t>
  </si>
  <si>
    <t>Calculation of GG Epsilon</t>
  </si>
  <si>
    <t>Estimated population matrix S</t>
  </si>
  <si>
    <t>=D13</t>
  </si>
  <si>
    <t>num</t>
  </si>
  <si>
    <t>=SUM(A18:D18)^2</t>
  </si>
  <si>
    <t>den</t>
  </si>
  <si>
    <t>=(G14-1)*SUMSQ(A14:D17)</t>
  </si>
  <si>
    <t>epsilon</t>
  </si>
  <si>
    <t>=G15/G16</t>
  </si>
  <si>
    <r>
      <rPr>
        <sz val="11"/>
        <color theme="1"/>
        <rFont val="Calibri"/>
        <family val="2"/>
      </rPr>
      <t xml:space="preserve">← </t>
    </r>
    <r>
      <rPr>
        <sz val="11"/>
        <color theme="1"/>
        <rFont val="Calibri"/>
        <family val="2"/>
        <scheme val="minor"/>
      </rPr>
      <t>diag</t>
    </r>
  </si>
  <si>
    <t>Eigenvalues of S</t>
  </si>
  <si>
    <t>=SUM(A22:C22)^2</t>
  </si>
  <si>
    <t>=(G22-1)*SUMSQ(A22:C22)</t>
  </si>
  <si>
    <t>=G23/G24</t>
  </si>
  <si>
    <t>Mauchly's test for sphericity</t>
  </si>
  <si>
    <t>Eigenvalues</t>
  </si>
  <si>
    <t>W</t>
  </si>
  <si>
    <t>test stat</t>
  </si>
  <si>
    <t xml:space="preserve">John, Nagao and Sugiura's test </t>
  </si>
  <si>
    <t>V</t>
  </si>
  <si>
    <t>Working Table</t>
  </si>
  <si>
    <t>Product</t>
  </si>
  <si>
    <t>Client</t>
  </si>
  <si>
    <t>Action</t>
  </si>
  <si>
    <t>Covariance Matrix (A)</t>
  </si>
  <si>
    <t>Covariance Matrix (B)</t>
  </si>
  <si>
    <t>Pre</t>
  </si>
  <si>
    <t>Post</t>
  </si>
  <si>
    <t>Sources of Variation</t>
  </si>
  <si>
    <t>A (Training)</t>
  </si>
  <si>
    <t>Sphericity</t>
  </si>
  <si>
    <t>GG</t>
  </si>
  <si>
    <t>A x C (Error)</t>
  </si>
  <si>
    <t>HF</t>
  </si>
  <si>
    <t>B (Skill)</t>
  </si>
  <si>
    <t>B x C (Error)</t>
  </si>
  <si>
    <t>variance</t>
  </si>
  <si>
    <t>C (Subject)</t>
  </si>
  <si>
    <t>A x B x C (Error)</t>
  </si>
  <si>
    <t>Covariance (AB)</t>
  </si>
  <si>
    <t>#A</t>
  </si>
  <si>
    <t>#B</t>
  </si>
  <si>
    <t>GG Num</t>
  </si>
  <si>
    <t>GG Den</t>
  </si>
  <si>
    <t>Effect size for ANOVA</t>
  </si>
  <si>
    <t>Client vs Training</t>
  </si>
  <si>
    <t>t-obs</t>
  </si>
  <si>
    <t>Between subject effects</t>
  </si>
  <si>
    <t>Between Subjects</t>
  </si>
  <si>
    <t>Between Subj</t>
  </si>
  <si>
    <t>Within Subjects</t>
  </si>
  <si>
    <t>Within Subj</t>
  </si>
  <si>
    <t>Huynh and Feldt</t>
  </si>
  <si>
    <t>Covariance matrices</t>
  </si>
  <si>
    <t>Average MSE</t>
  </si>
  <si>
    <t>Epsilon</t>
  </si>
  <si>
    <t>Young</t>
  </si>
  <si>
    <t>Middle</t>
  </si>
  <si>
    <t>Day 1</t>
  </si>
  <si>
    <t>Day 2</t>
  </si>
  <si>
    <t>Day 3</t>
  </si>
  <si>
    <t>Day 4</t>
  </si>
  <si>
    <t>Day 5</t>
  </si>
  <si>
    <t>Days</t>
  </si>
  <si>
    <t>Days x S w/i Age</t>
  </si>
  <si>
    <t>Subj w/i Age</t>
  </si>
  <si>
    <t>Days x Age</t>
  </si>
  <si>
    <t>Bet Days x Age</t>
  </si>
  <si>
    <t xml:space="preserve">   Subj w/i Age (Error)</t>
  </si>
  <si>
    <t xml:space="preserve">   Days</t>
  </si>
  <si>
    <t xml:space="preserve">   D x S w/i Age (Error)</t>
  </si>
  <si>
    <t>Age x Day 1</t>
  </si>
  <si>
    <t>Age x Day 5</t>
  </si>
  <si>
    <t># Days</t>
  </si>
  <si>
    <t># Age Groups</t>
  </si>
  <si>
    <t>ANOVA - Young</t>
  </si>
  <si>
    <t>ANOVA - Middle</t>
  </si>
  <si>
    <t>ANOVA - Old</t>
  </si>
  <si>
    <t>ANOVA with matched samples -1 within-subjects factor</t>
  </si>
  <si>
    <t>ANOVA with matched samples - 1 within-subjects factor</t>
  </si>
  <si>
    <t>ANOVA with matched samples - 2 within-subjects factors</t>
  </si>
  <si>
    <t>ANOVA with matched samples - 2 within-subjects factors (contrasts)</t>
  </si>
  <si>
    <t>ANOVA with matched samples - 1 within-subjects factor and 1 between-subjects factor</t>
  </si>
  <si>
    <t>Pre vs Post</t>
  </si>
  <si>
    <t xml:space="preserve">   Age groups</t>
  </si>
  <si>
    <t>Y 1</t>
  </si>
  <si>
    <t>Y 2</t>
  </si>
  <si>
    <t xml:space="preserve">Y 4 </t>
  </si>
  <si>
    <t>Y 5</t>
  </si>
  <si>
    <t>Y 3</t>
  </si>
  <si>
    <t>M 2</t>
  </si>
  <si>
    <t>M 3</t>
  </si>
  <si>
    <t xml:space="preserve">M 4 </t>
  </si>
  <si>
    <t>M 5</t>
  </si>
  <si>
    <t>M 1</t>
  </si>
  <si>
    <t>O 1</t>
  </si>
  <si>
    <t>O 2</t>
  </si>
  <si>
    <t>O 3</t>
  </si>
  <si>
    <t xml:space="preserve">O 4 </t>
  </si>
  <si>
    <t>O 5</t>
  </si>
  <si>
    <t>Levene's</t>
  </si>
  <si>
    <t>Between-subjects</t>
  </si>
  <si>
    <t>Box's Test</t>
  </si>
  <si>
    <t># matrices</t>
  </si>
  <si>
    <t># col/rows</t>
  </si>
  <si>
    <t># subjects</t>
  </si>
  <si>
    <t>det</t>
  </si>
  <si>
    <t>ln det</t>
  </si>
  <si>
    <t>M</t>
  </si>
  <si>
    <t>c0</t>
  </si>
  <si>
    <t>df0</t>
  </si>
  <si>
    <t>F+</t>
  </si>
  <si>
    <t>a+</t>
  </si>
  <si>
    <t>a-</t>
  </si>
  <si>
    <t>F-</t>
  </si>
  <si>
    <t>(m-1)*ln det</t>
  </si>
  <si>
    <t>1/(m-1)</t>
  </si>
  <si>
    <t>1/(m-1)^2</t>
  </si>
  <si>
    <t xml:space="preserve">   Days x Age</t>
  </si>
  <si>
    <t>ANOVA - Young (corrected with GG epsilon)</t>
  </si>
  <si>
    <t xml:space="preserve">Corrected </t>
  </si>
  <si>
    <t>ANOVA - within-subjects simple effects</t>
  </si>
  <si>
    <t>ANOVA - Middle (corrected with GG epsilon)</t>
  </si>
  <si>
    <t>Row 1</t>
  </si>
  <si>
    <t>Row 2</t>
  </si>
  <si>
    <t>Row 3</t>
  </si>
  <si>
    <t>Row 4</t>
  </si>
  <si>
    <t>Row 5</t>
  </si>
  <si>
    <t>Row 6</t>
  </si>
  <si>
    <t>Row 7</t>
  </si>
  <si>
    <t>Column 1</t>
  </si>
  <si>
    <t>Column 2</t>
  </si>
  <si>
    <t>Column 3</t>
  </si>
  <si>
    <t>Column 4</t>
  </si>
  <si>
    <t>Column 5</t>
  </si>
  <si>
    <t>ANOVA - Old (corrected with HF epsilon)</t>
  </si>
  <si>
    <t>Alternative calculation of Error terms:</t>
  </si>
  <si>
    <t>Simple Effects (between-subjects)</t>
  </si>
  <si>
    <t>x*t1</t>
  </si>
  <si>
    <t>x*t2</t>
  </si>
  <si>
    <t>x*t3</t>
  </si>
  <si>
    <r>
      <t>SS</t>
    </r>
    <r>
      <rPr>
        <vertAlign val="sub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(for X)</t>
    </r>
  </si>
  <si>
    <t>ANCOVA</t>
  </si>
  <si>
    <r>
      <t>b</t>
    </r>
    <r>
      <rPr>
        <vertAlign val="subscript"/>
        <sz val="11"/>
        <color theme="1"/>
        <rFont val="Calibri"/>
        <family val="2"/>
        <scheme val="minor"/>
      </rPr>
      <t>T</t>
    </r>
  </si>
  <si>
    <t>Regression (adj)</t>
  </si>
  <si>
    <t>Group</t>
  </si>
  <si>
    <t>Total (adj)</t>
  </si>
  <si>
    <t>SUMMARY OUTPUT (Reduced model - x, t)</t>
  </si>
  <si>
    <t>SUMMARY OUTPUT (Reduced model - y, t)</t>
  </si>
  <si>
    <t>SUMMARY OUTPUT (Reduced model - y, x)</t>
  </si>
  <si>
    <t>Covariate</t>
  </si>
  <si>
    <t>Treatment (adj)</t>
  </si>
  <si>
    <t>slope</t>
  </si>
  <si>
    <r>
      <t>b</t>
    </r>
    <r>
      <rPr>
        <vertAlign val="subscript"/>
        <sz val="11"/>
        <color theme="1"/>
        <rFont val="Calibri"/>
        <family val="2"/>
        <scheme val="minor"/>
      </rPr>
      <t>W</t>
    </r>
  </si>
  <si>
    <t>SUMMARY OUTPUT (Complete model - y, x, t, x*t)</t>
  </si>
  <si>
    <t>ANCOVA (Reduced)</t>
  </si>
  <si>
    <t>ANCOVA (Complete)</t>
  </si>
  <si>
    <t>ANOVA (Reduced model - x, t)</t>
  </si>
  <si>
    <t>ANOVA (Reduced model - y, t)</t>
  </si>
  <si>
    <t>ANOVA (Reduced model - y, x)</t>
  </si>
  <si>
    <t>Creation of ANCOVA models</t>
  </si>
  <si>
    <t>ANOVA (Full model - y, x, t)</t>
  </si>
  <si>
    <t>ANCOVA (Reduced) - using slope</t>
  </si>
  <si>
    <t>Adjusted means</t>
  </si>
  <si>
    <t xml:space="preserve"> Y (adj)</t>
  </si>
  <si>
    <t>Scatter plots</t>
  </si>
  <si>
    <t>Test for homogeneity of regression slopes</t>
  </si>
  <si>
    <t>Slopes</t>
  </si>
  <si>
    <t>SUMMARY OUTPUT (Full model - y, x, t)</t>
  </si>
  <si>
    <t>Y (adj)</t>
  </si>
  <si>
    <t>ANCOVA Contrasts</t>
  </si>
  <si>
    <t>SS * slope</t>
  </si>
  <si>
    <t>Anova: Single Factor (Reading Score)</t>
  </si>
  <si>
    <t>Reading Score</t>
  </si>
  <si>
    <t>Family Income</t>
  </si>
  <si>
    <t>Anova: Single Factor (Family Income)</t>
  </si>
  <si>
    <t>Between (adj)</t>
  </si>
  <si>
    <t>Within (adj)</t>
  </si>
  <si>
    <t>Treatment</t>
  </si>
  <si>
    <t>ANOVA (Reading Score)</t>
  </si>
  <si>
    <t>ANOVA (Family Income)</t>
  </si>
  <si>
    <t>Mean y (adj)</t>
  </si>
  <si>
    <t>Mean x</t>
  </si>
  <si>
    <t>Sample Size</t>
  </si>
  <si>
    <t>MS Res(y,x,t)</t>
  </si>
  <si>
    <t>SS Res(x,t)</t>
  </si>
  <si>
    <t>eta-squared</t>
  </si>
  <si>
    <t>partial eta-squared</t>
  </si>
  <si>
    <t>Effect size - treatment</t>
  </si>
  <si>
    <t>Effect size - covariate</t>
  </si>
  <si>
    <t>Effect size - covariate (from regression coefficients)</t>
  </si>
  <si>
    <t>Effect size r</t>
  </si>
  <si>
    <t>ANCOVA - Regression Approach</t>
  </si>
  <si>
    <t>ANCOVA - ANOVA Approach</t>
  </si>
  <si>
    <t xml:space="preserve">Effect sizes </t>
  </si>
  <si>
    <t>ANCOVA effect sizes - omnibus test</t>
  </si>
  <si>
    <t>ANCOVA effect sizes - contrasts</t>
  </si>
  <si>
    <t>RMSSE</t>
  </si>
  <si>
    <t>Omega Sq</t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</si>
  <si>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</si>
  <si>
    <t>Test using RSquareTest</t>
  </si>
  <si>
    <t>=ABS(B4-C4)</t>
  </si>
  <si>
    <t>=(B5-C5)^2</t>
  </si>
  <si>
    <t>=1/B6+1/C6</t>
  </si>
  <si>
    <t>=SQRT(D7*(D6+D5/D8))</t>
  </si>
  <si>
    <t>=D4/D9</t>
  </si>
  <si>
    <t>=TDIST(D10,D11,2)</t>
  </si>
  <si>
    <t>=TINV(D12,D11)</t>
  </si>
  <si>
    <t>=IF(D13&lt;D12,"yes","no")</t>
  </si>
  <si>
    <t>H</t>
  </si>
  <si>
    <t>Friedman Test</t>
  </si>
  <si>
    <t>Red</t>
  </si>
  <si>
    <t>Rose'</t>
  </si>
  <si>
    <r>
      <t>SS</t>
    </r>
    <r>
      <rPr>
        <vertAlign val="subscript"/>
        <sz val="11"/>
        <color theme="1"/>
        <rFont val="Calibri"/>
        <family val="2"/>
        <scheme val="minor"/>
      </rPr>
      <t>Col</t>
    </r>
  </si>
  <si>
    <t>k(k+1)/12</t>
  </si>
  <si>
    <t>Q</t>
  </si>
  <si>
    <t>Corrected version</t>
  </si>
  <si>
    <t>Anova: Two-Factor Without Replication (Young)</t>
  </si>
  <si>
    <t>Anova: Two-Factor Without Replication (Middle)</t>
  </si>
  <si>
    <t>Anova: Two-Factor Without Replication (Old)</t>
  </si>
  <si>
    <t>ANOVA with repeated measures, use of data analysis tools</t>
  </si>
  <si>
    <t>Inter</t>
  </si>
  <si>
    <t>Concise Table of Contents</t>
  </si>
  <si>
    <t>ANOVA with Repeated Measures</t>
  </si>
  <si>
    <t>Analysis of Covariance (ANCOVA)</t>
  </si>
  <si>
    <t>Tables</t>
  </si>
  <si>
    <t>Studentized Q Table (table 1)</t>
  </si>
  <si>
    <t>Studentized Q Table (table 2)</t>
  </si>
  <si>
    <t>Basic concepts</t>
  </si>
  <si>
    <t>One within subjects factor</t>
  </si>
  <si>
    <t>ANOVA with repeated measures, 1 treatment variable (Example 1)</t>
  </si>
  <si>
    <t>Contrasts for ANOVA with repeated measures (Example 2)</t>
  </si>
  <si>
    <t>Tests for sphericity (Example 1)</t>
  </si>
  <si>
    <t>ANOVA with repeated measures corrected for sphericity (Example 2)</t>
  </si>
  <si>
    <t>One within subjects factor and one between subjects factor</t>
  </si>
  <si>
    <t>ANOVA with repeated measures, 2 within-subjects factors (Example 1)</t>
  </si>
  <si>
    <t>Friedman's test (Example 1)</t>
  </si>
  <si>
    <t>Friedman test</t>
  </si>
  <si>
    <t>Intraclass correlation</t>
  </si>
  <si>
    <t>Using a regression approach</t>
  </si>
  <si>
    <t>ANCOVA data (Example 1)</t>
  </si>
  <si>
    <t>ANCOVA regression models (Figure 2)</t>
  </si>
  <si>
    <t>ANCOVA results (Figure 3 and 4)</t>
  </si>
  <si>
    <t>ANCOVA adjusted means (Figure 6 and 7)</t>
  </si>
  <si>
    <t>ANCOVA full model (Figure 5)</t>
  </si>
  <si>
    <t>Assumptions</t>
  </si>
  <si>
    <t>ANOVA approach</t>
  </si>
  <si>
    <t>Contrasts</t>
  </si>
  <si>
    <t>Additional information about sphericity</t>
  </si>
  <si>
    <t>Calculation of GG and HF epsilon and lower bound correction (Figure 3)</t>
  </si>
  <si>
    <t>GG epsilon calculation (Example 1)</t>
  </si>
  <si>
    <t>GG epsilon calculation using eigenvalues (Example 2)</t>
  </si>
  <si>
    <t>Mauchly's test for sphericity (Example 3)</t>
  </si>
  <si>
    <t>ANOVA with repeated measures, 1 within and 1 between subjects (Example 1)</t>
  </si>
  <si>
    <t>Assumptions between subjects: Boxplot (Figure 5)</t>
  </si>
  <si>
    <t>Assumptions between subjects: Levene's test (Figure 6)</t>
  </si>
  <si>
    <t>Assumptions within subjects: Boxplot (Figure 7)</t>
  </si>
  <si>
    <t>Assumptions within subjects: Levene's test (Figure 8)</t>
  </si>
  <si>
    <t>Within subjects covariance matrices (Figure 9)</t>
  </si>
  <si>
    <t>Within subjects GG and HF epsilon factors (Figure 10)</t>
  </si>
  <si>
    <t>Within subjects ANOVA corrected for sphericity (Figure 11)</t>
  </si>
  <si>
    <t>Within subjects simple effects ANOVA (Figure 12)</t>
  </si>
  <si>
    <t>Within subjects GG and HF epsilon factors for Young (Figure 13)</t>
  </si>
  <si>
    <t>Summary of within subjects GG and HF epsilon factors (Figure 14)</t>
  </si>
  <si>
    <t>Corrected within subjects simple effects ANOVA (Figure 15)</t>
  </si>
  <si>
    <t>Between subjects simple effects ANOVA (Figure 16)</t>
  </si>
  <si>
    <t>Corrected between subjects simple effects ANOVA (Figure 18)</t>
  </si>
  <si>
    <t>ANCOVA assumptions (Example 1, Figure 1 and 2)</t>
  </si>
  <si>
    <t>ANCOVA assumptions - homogeneous regression slopes (Figure 4)</t>
  </si>
  <si>
    <t>ANCOVA complete model (Figure 3)</t>
  </si>
  <si>
    <t>ANCOVA regression approach (Figure 1)</t>
  </si>
  <si>
    <t>ANOVA approach (Example 1)</t>
  </si>
  <si>
    <t>ANCOVA Contrasts (Example 1)</t>
  </si>
  <si>
    <t>Box's test for equivalence of covariance matrices (Example 1 of Detail)</t>
  </si>
  <si>
    <t>u</t>
  </si>
  <si>
    <t>Shapiro-Wilk Test</t>
  </si>
  <si>
    <t>normal</t>
  </si>
  <si>
    <t>c2</t>
  </si>
  <si>
    <t>1/nn</t>
  </si>
  <si>
    <t>1/nn^2</t>
  </si>
  <si>
    <t>nn*ln det</t>
  </si>
  <si>
    <t>nn = n -1</t>
  </si>
  <si>
    <t>Real Statistics data analysis tool</t>
  </si>
  <si>
    <t>coeff</t>
  </si>
  <si>
    <t>Regression Analysis</t>
  </si>
  <si>
    <t>OVERALL FIT</t>
  </si>
  <si>
    <t>q-stat</t>
  </si>
  <si>
    <t>Q TEST</t>
  </si>
  <si>
    <t>Interclass correlation</t>
  </si>
  <si>
    <t>More powerful test for sphericity, John, Nagao and Sugiura's test  (Example 4)</t>
  </si>
  <si>
    <t>Input data in standard format</t>
  </si>
  <si>
    <t>COUNT</t>
  </si>
  <si>
    <t>VARIANCE</t>
  </si>
  <si>
    <t>Input data with rows and columns exchanged</t>
  </si>
  <si>
    <t>Two Factor Anova</t>
  </si>
  <si>
    <t>Input in Excel Anova format</t>
  </si>
  <si>
    <t>ICC</t>
  </si>
  <si>
    <t>age</t>
  </si>
  <si>
    <t>total</t>
  </si>
  <si>
    <t>MSR-MSE</t>
  </si>
  <si>
    <t>kMSE</t>
  </si>
  <si>
    <t>k(MSC-MSE)/n</t>
  </si>
  <si>
    <t>v</t>
  </si>
  <si>
    <t>w</t>
  </si>
  <si>
    <t>g</t>
  </si>
  <si>
    <t>h</t>
  </si>
  <si>
    <t>d'</t>
  </si>
  <si>
    <t>=AA8</t>
  </si>
  <si>
    <t>=MAX(1,ROUND(AB21,0))</t>
  </si>
  <si>
    <t>=FINV(AB15/2,AB16-1,AB22)</t>
  </si>
  <si>
    <t>=FINV(AB15/2,AB23,AB16-1)</t>
  </si>
  <si>
    <t>=I23+1</t>
  </si>
  <si>
    <t>=I24+1</t>
  </si>
  <si>
    <t>=(AB17-1)*(AB16-1)*(AB17*I29*AB19+AB18)^2/((AB16-1)*(AB17*I29*AB19)^2+AB18^2)</t>
  </si>
  <si>
    <t>=AB16*(1+(AB17-1)*I29)-AB17*I29</t>
  </si>
  <si>
    <t>=AB17*J24+(AB16*AB17-AB17-AB16)*J25</t>
  </si>
  <si>
    <t>=AB16*(J23-AB23*J25)/(AB21+AB23*AB20+AB16*J23)</t>
  </si>
  <si>
    <t>=AB16*(AB24*J23-J25)/(AB20+AB16*AB24*J23)</t>
  </si>
  <si>
    <t>Intraclass Correlation - class 2</t>
  </si>
  <si>
    <t>F-lower</t>
  </si>
  <si>
    <t>F-upper</t>
  </si>
  <si>
    <t>Intraclass Correlation - class 3</t>
  </si>
  <si>
    <t>ICC(3,1)</t>
  </si>
  <si>
    <t>dfRow</t>
  </si>
  <si>
    <t>ICC(2,4)</t>
  </si>
  <si>
    <t>=(J23-J25)/J23</t>
  </si>
  <si>
    <t>=1-1/I36</t>
  </si>
  <si>
    <t>=1-1/I37</t>
  </si>
  <si>
    <t>ICC(3,4)</t>
  </si>
  <si>
    <r>
      <t xml:space="preserve">Cron </t>
    </r>
    <r>
      <rPr>
        <sz val="11"/>
        <color theme="1"/>
        <rFont val="Calibri"/>
        <family val="2"/>
      </rPr>
      <t>α</t>
    </r>
  </si>
  <si>
    <t>=CRONALPHA(B5:E12)</t>
  </si>
  <si>
    <t>Intraclass Correlation - case 2</t>
  </si>
  <si>
    <t>Intraclass Correlation - case 1</t>
  </si>
  <si>
    <t>Intraclass Correlation - case 3</t>
  </si>
  <si>
    <t>ICC(2,1)</t>
  </si>
  <si>
    <t>=ICC(B5:E12,2,1)</t>
  </si>
  <si>
    <t>=ICC(B5:E12,2,4)</t>
  </si>
  <si>
    <t>=ICC(B5:E12,3,1)</t>
  </si>
  <si>
    <t>=ICC(B5:E12,3,4)</t>
  </si>
  <si>
    <t>Data analysis tool</t>
  </si>
  <si>
    <t>data</t>
  </si>
  <si>
    <t>Real Statistics functions</t>
  </si>
  <si>
    <r>
      <t>1-</t>
    </r>
    <r>
      <rPr>
        <sz val="11"/>
        <color theme="1"/>
        <rFont val="Calibri"/>
        <family val="2"/>
      </rPr>
      <t>β</t>
    </r>
  </si>
  <si>
    <t>Real Statistics function</t>
  </si>
  <si>
    <t>Real Statistics formulas</t>
  </si>
  <si>
    <t>Anova data analysis tool</t>
  </si>
  <si>
    <t>Reliability data analysis tool</t>
  </si>
  <si>
    <t>ICC Type</t>
  </si>
  <si>
    <t>GGEpsilon</t>
  </si>
  <si>
    <t>GG epsilon</t>
  </si>
  <si>
    <t>HF epsilon</t>
  </si>
  <si>
    <t>Two Factor Anova with Repeated Measures</t>
  </si>
  <si>
    <t>- Rows</t>
  </si>
  <si>
    <t>- Error</t>
  </si>
  <si>
    <t>- Columns</t>
  </si>
  <si>
    <t>- Interaction</t>
  </si>
  <si>
    <t>Standard Format</t>
  </si>
  <si>
    <t>Sorted using QSORTRows</t>
  </si>
  <si>
    <t>One-way ANOVA with random factor (Example 1)</t>
  </si>
  <si>
    <t>Nested models</t>
  </si>
  <si>
    <t>Nested model (Example 1)</t>
  </si>
  <si>
    <t>Nested ANOVA</t>
  </si>
  <si>
    <t>Psychology</t>
  </si>
  <si>
    <t>Negotiation</t>
  </si>
  <si>
    <t>Conflict Management</t>
  </si>
  <si>
    <t>Office 1</t>
  </si>
  <si>
    <t>Office 2</t>
  </si>
  <si>
    <t>Office 3</t>
  </si>
  <si>
    <t>Office 4</t>
  </si>
  <si>
    <t>Office 5</t>
  </si>
  <si>
    <t>Office 6</t>
  </si>
  <si>
    <t>Office 7</t>
  </si>
  <si>
    <t>Office 8</t>
  </si>
  <si>
    <t>Office 9</t>
  </si>
  <si>
    <t>Negot</t>
  </si>
  <si>
    <t>Conflict</t>
  </si>
  <si>
    <t>Psychol</t>
  </si>
  <si>
    <t>Negotiat</t>
  </si>
  <si>
    <t>Office A</t>
  </si>
  <si>
    <t>Office B</t>
  </si>
  <si>
    <t>Office C</t>
  </si>
  <si>
    <t>One Sample Random ANOVA</t>
  </si>
  <si>
    <t>Region 2</t>
  </si>
  <si>
    <t>Region 3</t>
  </si>
  <si>
    <t>Region 4</t>
  </si>
  <si>
    <t>Region 5</t>
  </si>
  <si>
    <t>Region 1</t>
  </si>
  <si>
    <t>ANCOVA: Single Factor</t>
  </si>
  <si>
    <t>adj mean</t>
  </si>
  <si>
    <t>Slope W</t>
  </si>
  <si>
    <t>Slope T</t>
  </si>
  <si>
    <t>Between</t>
  </si>
  <si>
    <t>ANCOVA - Data Analysis Tool</t>
  </si>
  <si>
    <t>RANDOM FACTOR</t>
  </si>
  <si>
    <t>Estimate</t>
  </si>
  <si>
    <t>chi crit -</t>
  </si>
  <si>
    <t>chi crit +</t>
  </si>
  <si>
    <t>Nested ANOVA - standard format</t>
  </si>
  <si>
    <t>Two Factor Nested Anova</t>
  </si>
  <si>
    <t>Col (Rows)</t>
  </si>
  <si>
    <t>One random factor ANOVA</t>
  </si>
  <si>
    <t>Two factor mixed model (Example 1)</t>
  </si>
  <si>
    <t>Nested Anova data analysis tool</t>
  </si>
  <si>
    <t>Nested Anova data analysis tool (Example 1)</t>
  </si>
  <si>
    <t>Nested Anova using data in standard form (Example 2)</t>
  </si>
  <si>
    <t>ANCOVA data analysis tool (Example 1)</t>
  </si>
  <si>
    <t>Two within subjects factors</t>
  </si>
  <si>
    <t>ANOVA with Random Factors and Nested Models</t>
  </si>
  <si>
    <t>ANOVA with Random or Nested Factors</t>
  </si>
  <si>
    <t>Mixed Factors ANOVA</t>
  </si>
  <si>
    <t>Two Mixed Factors Anova</t>
  </si>
  <si>
    <t>Nested Anova analysis</t>
  </si>
  <si>
    <t>Cochran's Q test</t>
  </si>
  <si>
    <t>Cochran's Q test, summarized data (Example 2)</t>
  </si>
  <si>
    <t>Cochran's Q test, raw data (Example 1)</t>
  </si>
  <si>
    <t>Cochran's Q Test</t>
  </si>
  <si>
    <t>Wed</t>
  </si>
  <si>
    <t>Mon</t>
  </si>
  <si>
    <t>Fri</t>
  </si>
  <si>
    <t>Q-crit</t>
  </si>
  <si>
    <t>Proportion that are energetic</t>
  </si>
  <si>
    <t>Q-stat</t>
  </si>
  <si>
    <t>Group percentages</t>
  </si>
  <si>
    <t>Data anaòysis tool</t>
  </si>
  <si>
    <t>Friedman's Test</t>
  </si>
  <si>
    <t>H-stat</t>
  </si>
  <si>
    <t>Using Real Statistics functions</t>
  </si>
  <si>
    <t>Intraclass Correlation</t>
  </si>
  <si>
    <t>Power and Sample Size for ICC(1,1)</t>
  </si>
  <si>
    <t>rho0</t>
  </si>
  <si>
    <t>rho1</t>
  </si>
  <si>
    <t>ICC(1,1) Power and Sample Size</t>
  </si>
  <si>
    <t>Chart comparing means for interaction (Figure 9)</t>
  </si>
  <si>
    <t>Comparisons of means for interaction (Example 2)</t>
  </si>
  <si>
    <t>Comparisons of means for interaction (Example 3)</t>
  </si>
  <si>
    <t>vif</t>
  </si>
  <si>
    <t>SBC</t>
  </si>
  <si>
    <t>Repeated Measures ANOVA using Regression</t>
  </si>
  <si>
    <t>Design of Experiments</t>
  </si>
  <si>
    <t>Design of Experiments (DOE)</t>
  </si>
  <si>
    <t>Randomized Complete Block Design (RCBD)</t>
  </si>
  <si>
    <t>Herbicide</t>
  </si>
  <si>
    <t>Field 1</t>
  </si>
  <si>
    <t>Field 2</t>
  </si>
  <si>
    <t>Field 3</t>
  </si>
  <si>
    <t>Field 4</t>
  </si>
  <si>
    <t>Randomized complete block design (RCB)</t>
  </si>
  <si>
    <t>Blocks</t>
  </si>
  <si>
    <t>Contrast: RCBD Anova</t>
  </si>
  <si>
    <t>TUKEY HSD: RCBD Anova</t>
  </si>
  <si>
    <t>RCBD (Example 1)</t>
  </si>
  <si>
    <t>Split-Plot Design</t>
  </si>
  <si>
    <t>Randomized Complete Block Design</t>
  </si>
  <si>
    <t>RCBD data analysis tool (Example 1)</t>
  </si>
  <si>
    <t>Tukey HSD for RCBD (Example 3)</t>
  </si>
  <si>
    <t>Contrasts for RCBD (Example 2)</t>
  </si>
  <si>
    <t>Latin Square Design</t>
  </si>
  <si>
    <t>Latin Squares Design</t>
  </si>
  <si>
    <t>Excel Format</t>
  </si>
  <si>
    <t>col</t>
  </si>
  <si>
    <t>treat</t>
  </si>
  <si>
    <t>A = 4</t>
  </si>
  <si>
    <t>B = 2</t>
  </si>
  <si>
    <t>C = 5</t>
  </si>
  <si>
    <t>D = 7</t>
  </si>
  <si>
    <t>B = 1</t>
  </si>
  <si>
    <t>C = 2</t>
  </si>
  <si>
    <t>D = 6</t>
  </si>
  <si>
    <t>A = 5</t>
  </si>
  <si>
    <t>C = 8</t>
  </si>
  <si>
    <t>D = 9</t>
  </si>
  <si>
    <t>A = 6</t>
  </si>
  <si>
    <t>B = 3</t>
  </si>
  <si>
    <t>D = 11</t>
  </si>
  <si>
    <t>A = 3</t>
  </si>
  <si>
    <t>B = 7</t>
  </si>
  <si>
    <t>Latin Squares Design - Excel format</t>
  </si>
  <si>
    <t>Treat</t>
  </si>
  <si>
    <t>Latin Squares Design with missing data</t>
  </si>
  <si>
    <t>Latin Squares - standard format</t>
  </si>
  <si>
    <t>Latin Squares with replications</t>
  </si>
  <si>
    <t>TREATMENT CONTRASTS</t>
  </si>
  <si>
    <t>TUKEY HSD - TREATMENT</t>
  </si>
  <si>
    <t>rep</t>
  </si>
  <si>
    <t>Replications</t>
  </si>
  <si>
    <t>Latin square representation</t>
  </si>
  <si>
    <t>Latin square analysis, Excel format (Example 1)</t>
  </si>
  <si>
    <t>Latin square with missing data</t>
  </si>
  <si>
    <t>Latin square analysis, standard format</t>
  </si>
  <si>
    <t>Latin square analysis with replications, Excel format (Example 2)</t>
  </si>
  <si>
    <t>Latin square analysis with replications, standard format</t>
  </si>
  <si>
    <t>Contrasts (Example 3)</t>
  </si>
  <si>
    <t>Tukey HSD (Example 4)</t>
  </si>
  <si>
    <t>Split-plot Design</t>
  </si>
  <si>
    <t>Split-Plot Anova (RCB)</t>
  </si>
  <si>
    <t>Block</t>
  </si>
  <si>
    <t>Whole-Plot (Col)</t>
  </si>
  <si>
    <t>Whole x Block</t>
  </si>
  <si>
    <t>Split-Plot (Row)</t>
  </si>
  <si>
    <t>Whole x Split</t>
  </si>
  <si>
    <t>Split-plot Error</t>
  </si>
  <si>
    <t>CONTRASTS: WHOLE PLOTS</t>
  </si>
  <si>
    <t>CONTRASTS: SUB-PLOTS</t>
  </si>
  <si>
    <t>TUKEY HSD: WHOLE PLOTS</t>
  </si>
  <si>
    <t>TUKEY HSD: SUB-PLOTS</t>
  </si>
  <si>
    <t>Split-Plot Anova (RCB 1)</t>
  </si>
  <si>
    <t>Whole-Plot Error</t>
  </si>
  <si>
    <t>Split-Plot Anova (RCB 2)</t>
  </si>
  <si>
    <t>Block x Split</t>
  </si>
  <si>
    <t>Split-Plot Anova (CRD)</t>
  </si>
  <si>
    <t>Whole-plot Error</t>
  </si>
  <si>
    <t>RCBD Split-plot Anova - model 1</t>
  </si>
  <si>
    <t>RCBD Split-plot Anova (Example 1)</t>
  </si>
  <si>
    <t>RCBD Split-plot Anova - model 2</t>
  </si>
  <si>
    <t>CRD Split-plot Anova</t>
  </si>
  <si>
    <t>Contrasts (Example 2)</t>
  </si>
  <si>
    <t>Tukey's HSD (Example 3)</t>
  </si>
  <si>
    <t>Interaction (Example 4)</t>
  </si>
  <si>
    <t>Intraclass Correlation - class 1</t>
  </si>
  <si>
    <t>Transpose of the data</t>
  </si>
  <si>
    <t>Via Real Statistics formulas</t>
  </si>
  <si>
    <t>=(MSBet(O5:V8)-MSW(O5:V8))/(MSBet(O5:V8)+(COUNTA(O5:O8)-1)*MSW(O5:V8))</t>
  </si>
  <si>
    <t>MSB</t>
  </si>
  <si>
    <t>Confidence Interval</t>
  </si>
  <si>
    <t>ICC(1,1)</t>
  </si>
  <si>
    <t>n-1</t>
  </si>
  <si>
    <t>n(k-1)</t>
  </si>
  <si>
    <t>ICC(1,4)</t>
  </si>
  <si>
    <t>ANCOVA conversion to stacked format</t>
  </si>
  <si>
    <t>ANCOVA data analysis tool (converting to standard format)</t>
  </si>
  <si>
    <t>Homogeneity of Slopes Test</t>
  </si>
  <si>
    <t>cov mean</t>
  </si>
  <si>
    <t>cov ssbet</t>
  </si>
  <si>
    <t>cov ssw</t>
  </si>
  <si>
    <t>msw</t>
  </si>
  <si>
    <t>SSW(x)</t>
  </si>
  <si>
    <t>SSBet(x)</t>
  </si>
  <si>
    <t>MSW*</t>
  </si>
  <si>
    <t>=M8 *</t>
  </si>
  <si>
    <t>=L14 *</t>
  </si>
  <si>
    <t>=K8 *</t>
  </si>
  <si>
    <t>ANCOVA Tukey HSD/Kramer</t>
  </si>
  <si>
    <t>TUKEY HSD/KRAMER: ANCOVA</t>
  </si>
  <si>
    <t>CONTRASTS: ANCOVA</t>
  </si>
  <si>
    <t>Tukey HSD/Kramer</t>
  </si>
  <si>
    <t>Tukey-Kramer for ANCOVA</t>
  </si>
  <si>
    <t>Real Statistics Capabilities</t>
  </si>
  <si>
    <t>Conversion from Excel to stacked format (Example 1)</t>
  </si>
  <si>
    <t>ANCOVA in stacked format</t>
  </si>
  <si>
    <t>Tukey HSD</t>
  </si>
  <si>
    <t>Using Regression with unbalanced models</t>
  </si>
  <si>
    <t>Real Statistics data analysis, input in Excel format</t>
  </si>
  <si>
    <t>Real Statistics data analysis, input in standard format</t>
  </si>
  <si>
    <t>Input data in stacked format</t>
  </si>
  <si>
    <t>Day</t>
  </si>
  <si>
    <t>Sleep</t>
  </si>
  <si>
    <t>Input data in Excel Format</t>
  </si>
  <si>
    <t>Regression Analysis (S,D,A)</t>
  </si>
  <si>
    <t>subjects</t>
  </si>
  <si>
    <t>days</t>
  </si>
  <si>
    <t>mid</t>
  </si>
  <si>
    <t>old</t>
  </si>
  <si>
    <t>yield</t>
  </si>
  <si>
    <t>Regression Analysis (S)</t>
  </si>
  <si>
    <t>Regression Analysis(D,A)</t>
  </si>
  <si>
    <t>Regression Analysis (A)</t>
  </si>
  <si>
    <t>Regression Analysis (S,D)</t>
  </si>
  <si>
    <t>Regression Analysis (S,A)</t>
  </si>
  <si>
    <t>Regression Analysis (A,D,DA)</t>
  </si>
  <si>
    <t>mid2</t>
  </si>
  <si>
    <t>old2</t>
  </si>
  <si>
    <t>mid3</t>
  </si>
  <si>
    <t>old3</t>
  </si>
  <si>
    <t>Regression Analysis (D)</t>
  </si>
  <si>
    <t>Regression model</t>
  </si>
  <si>
    <t>ICC Reliability</t>
  </si>
  <si>
    <t>RCBD with Missing Data</t>
  </si>
  <si>
    <t>Using Regression</t>
  </si>
  <si>
    <t>Randomized complete block design (RCBD)</t>
  </si>
  <si>
    <t>RCBD with one missing element</t>
  </si>
  <si>
    <t>Missing</t>
  </si>
  <si>
    <t>Adj SS</t>
  </si>
  <si>
    <t>RCBD with Missing Data (Real Statistics Support)</t>
  </si>
  <si>
    <t>Real Statistics support for regression approach</t>
  </si>
  <si>
    <t>RCBD via Regression</t>
  </si>
  <si>
    <t>T10</t>
  </si>
  <si>
    <t>T15</t>
  </si>
  <si>
    <t>T20</t>
  </si>
  <si>
    <t>T25</t>
  </si>
  <si>
    <t>T30</t>
  </si>
  <si>
    <t>F2</t>
  </si>
  <si>
    <t>F3</t>
  </si>
  <si>
    <t>F4</t>
  </si>
  <si>
    <t>Yield</t>
  </si>
  <si>
    <t>Randomized Complete Block Design using Regression</t>
  </si>
  <si>
    <t>RCBD via Regression (Real Statistics support)</t>
  </si>
  <si>
    <t>Real Statistics support for dealing with more than one missing element</t>
  </si>
  <si>
    <t xml:space="preserve">RCBD with missing data via Regression </t>
  </si>
  <si>
    <t>ANOVA (Complete Regression)</t>
  </si>
  <si>
    <t>yes</t>
  </si>
  <si>
    <t>ANOVA (Subset Regression)</t>
  </si>
  <si>
    <t>ANOVA (RCBD via Regression)</t>
  </si>
  <si>
    <t>RCBD with missing data via Regression (Real Statistics)</t>
  </si>
  <si>
    <t>5</t>
  </si>
  <si>
    <t>15</t>
  </si>
  <si>
    <t>20</t>
  </si>
  <si>
    <t>25</t>
  </si>
  <si>
    <t>30</t>
  </si>
  <si>
    <t>10</t>
  </si>
  <si>
    <t>Real Statistics support for data in standard format</t>
  </si>
  <si>
    <t>Using Regression to deal with one missing element</t>
  </si>
  <si>
    <t>RCBD with more than one missing element</t>
  </si>
  <si>
    <t>Missing one data element</t>
  </si>
  <si>
    <t>Real Statistics support for imputation (one missing data element)</t>
  </si>
  <si>
    <t>group</t>
  </si>
  <si>
    <t>mean-crit</t>
  </si>
  <si>
    <t>group 1</t>
  </si>
  <si>
    <t>group 2</t>
  </si>
  <si>
    <t>contrast</t>
  </si>
  <si>
    <t>size</t>
  </si>
  <si>
    <t>Conover post-hoc test</t>
  </si>
  <si>
    <t>Row Ranks Table</t>
  </si>
  <si>
    <t>FRIEDMAN-CONOVER TEST</t>
  </si>
  <si>
    <t>Pairwise Signed-ranks tests</t>
  </si>
  <si>
    <t>Hochberg's Method</t>
  </si>
  <si>
    <t>R-sum</t>
  </si>
  <si>
    <t>R-mean</t>
  </si>
  <si>
    <t>R-crit</t>
  </si>
  <si>
    <t># of tests</t>
  </si>
  <si>
    <t>Q*-stat</t>
  </si>
  <si>
    <t>df1</t>
  </si>
  <si>
    <t>rank</t>
  </si>
  <si>
    <t>Contrasts data analysis</t>
  </si>
  <si>
    <t>Two types of Tukey HSD post-hoc test</t>
  </si>
  <si>
    <t>Pairwise paired t tests</t>
  </si>
  <si>
    <t>Pairwise t tests</t>
  </si>
  <si>
    <t>TUKEY HSD: Repeated Measures Anova</t>
  </si>
  <si>
    <t>Contrast: repeated measures</t>
  </si>
  <si>
    <t>Repeated Measures Anova</t>
  </si>
  <si>
    <t>Nenemyi post-hoc test</t>
  </si>
  <si>
    <t>Pairwise signed-ranks post-hoc tests</t>
  </si>
  <si>
    <t>FRIEDMAN-NEMENYI TEST</t>
  </si>
  <si>
    <t>R sum</t>
  </si>
  <si>
    <t>Pairwise Signed-ranks exact tests</t>
  </si>
  <si>
    <t>Real Statistics Using Excel - ANOVA 2 Examples Workbook</t>
  </si>
  <si>
    <t>Random Factors ANOVA</t>
  </si>
  <si>
    <t>Two factor random Anova data analysis tool (Example 1)</t>
  </si>
  <si>
    <t>Two factor random model</t>
  </si>
  <si>
    <t>Two Factor Anova - Random</t>
  </si>
  <si>
    <t>Copyright © 2013 - 2019 Charles Zaiontz</t>
  </si>
  <si>
    <t>ICC Class</t>
  </si>
  <si>
    <t>Charles Zaiontz, 22 February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</si>
</sst>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  <font>
      <sz val="10"/>
      <name val="Courier New"/>
      <family val="3"/>
    </font>
    <font>
      <sz val="10"/>
      <name val="Arial"/>
      <family val="2"/>
    </font>
    <font>
      <b/>
      <u/>
      <sz val="11"/>
      <color theme="10"/>
      <name val="Calibri"/>
      <family val="2"/>
    </font>
    <font>
      <sz val="11"/>
      <color rgb="FF231F20"/>
      <name val="Calibri"/>
      <family val="2"/>
      <scheme val="minor"/>
    </font>
    <font>
      <sz val="17"/>
      <color rgb="FF231F2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E0E0E0"/>
        <bgColor indexed="64"/>
      </patternFill>
    </fill>
  </fills>
  <borders count="18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5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2" fillId="0" borderId="0"/>
    <xf numFmtId="9" fontId="1" fillId="0" borderId="0" applyFont="0" applyFill="0" applyBorder="0" applyAlignment="0" applyProtection="0"/>
  </cellStyleXfs>
  <cellXfs count="480">
    <xf numFmtId="0" fontId="0" fillId="0" borderId="0" xfId="0"/>
    <xf numFmtId="0" fontId="2" fillId="0" borderId="0" xfId="0" applyFont="1"/>
    <xf numFmtId="0" fontId="3" fillId="0" borderId="0" xfId="1" applyAlignment="1" applyProtection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right"/>
    </xf>
    <xf numFmtId="2" fontId="0" fillId="0" borderId="0" xfId="0" applyNumberFormat="1"/>
    <xf numFmtId="0" fontId="0" fillId="0" borderId="0" xfId="0" quotePrefix="1"/>
    <xf numFmtId="0" fontId="0" fillId="0" borderId="0" xfId="0" applyFont="1"/>
    <xf numFmtId="0" fontId="0" fillId="0" borderId="0" xfId="0" applyFill="1" applyBorder="1" applyAlignment="1"/>
    <xf numFmtId="0" fontId="0" fillId="0" borderId="10" xfId="0" applyFill="1" applyBorder="1" applyAlignment="1"/>
    <xf numFmtId="0" fontId="5" fillId="0" borderId="9" xfId="0" applyFont="1" applyFill="1" applyBorder="1" applyAlignment="1">
      <alignment horizontal="centerContinuous"/>
    </xf>
    <xf numFmtId="0" fontId="0" fillId="0" borderId="10" xfId="0" applyBorder="1"/>
    <xf numFmtId="0" fontId="0" fillId="0" borderId="0" xfId="0" applyBorder="1" applyAlignment="1">
      <alignment horizontal="right"/>
    </xf>
    <xf numFmtId="164" fontId="0" fillId="0" borderId="0" xfId="0" applyNumberFormat="1"/>
    <xf numFmtId="0" fontId="4" fillId="0" borderId="0" xfId="0" applyFont="1"/>
    <xf numFmtId="0" fontId="0" fillId="0" borderId="0" xfId="0" applyFill="1" applyBorder="1"/>
    <xf numFmtId="0" fontId="5" fillId="0" borderId="11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2" fontId="0" fillId="0" borderId="0" xfId="0" applyNumberFormat="1" applyBorder="1"/>
    <xf numFmtId="165" fontId="0" fillId="0" borderId="0" xfId="0" applyNumberFormat="1"/>
    <xf numFmtId="165" fontId="0" fillId="0" borderId="0" xfId="0" applyNumberFormat="1" applyBorder="1"/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2" xfId="0" applyBorder="1"/>
    <xf numFmtId="0" fontId="0" fillId="0" borderId="0" xfId="0" applyFont="1" applyBorder="1"/>
    <xf numFmtId="164" fontId="0" fillId="0" borderId="0" xfId="0" applyNumberFormat="1" applyBorder="1"/>
    <xf numFmtId="0" fontId="0" fillId="0" borderId="0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left"/>
    </xf>
    <xf numFmtId="0" fontId="0" fillId="0" borderId="13" xfId="0" applyBorder="1"/>
    <xf numFmtId="0" fontId="5" fillId="0" borderId="0" xfId="0" applyFont="1"/>
    <xf numFmtId="0" fontId="5" fillId="0" borderId="0" xfId="0" applyFont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Font="1" applyAlignment="1">
      <alignment horizontal="left"/>
    </xf>
    <xf numFmtId="0" fontId="5" fillId="0" borderId="0" xfId="0" applyFont="1" applyBorder="1"/>
    <xf numFmtId="0" fontId="0" fillId="0" borderId="0" xfId="0" applyFont="1" applyFill="1" applyBorder="1" applyAlignment="1">
      <alignment horizontal="left"/>
    </xf>
    <xf numFmtId="0" fontId="4" fillId="0" borderId="0" xfId="0" applyFont="1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right"/>
    </xf>
    <xf numFmtId="0" fontId="0" fillId="0" borderId="19" xfId="0" applyBorder="1"/>
    <xf numFmtId="0" fontId="0" fillId="0" borderId="21" xfId="0" applyBorder="1"/>
    <xf numFmtId="0" fontId="0" fillId="0" borderId="20" xfId="0" applyBorder="1"/>
    <xf numFmtId="0" fontId="0" fillId="0" borderId="0" xfId="0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22" xfId="0" applyBorder="1"/>
    <xf numFmtId="0" fontId="0" fillId="0" borderId="17" xfId="0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/>
    <xf numFmtId="0" fontId="0" fillId="0" borderId="23" xfId="0" applyBorder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0" xfId="0" applyBorder="1"/>
    <xf numFmtId="0" fontId="0" fillId="0" borderId="31" xfId="0" applyBorder="1" applyAlignment="1">
      <alignment horizontal="center"/>
    </xf>
    <xf numFmtId="0" fontId="0" fillId="0" borderId="32" xfId="0" applyBorder="1"/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0" borderId="10" xfId="0" applyNumberFormat="1" applyBorder="1"/>
    <xf numFmtId="0" fontId="0" fillId="0" borderId="0" xfId="0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37" xfId="0" applyBorder="1"/>
    <xf numFmtId="0" fontId="0" fillId="0" borderId="38" xfId="0" applyBorder="1"/>
    <xf numFmtId="0" fontId="0" fillId="0" borderId="41" xfId="0" applyBorder="1"/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2" xfId="0" applyBorder="1"/>
    <xf numFmtId="0" fontId="0" fillId="0" borderId="43" xfId="0" applyBorder="1"/>
    <xf numFmtId="0" fontId="0" fillId="0" borderId="39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27" xfId="0" applyBorder="1"/>
    <xf numFmtId="0" fontId="0" fillId="0" borderId="47" xfId="0" applyBorder="1"/>
    <xf numFmtId="0" fontId="0" fillId="0" borderId="48" xfId="0" applyBorder="1"/>
    <xf numFmtId="0" fontId="0" fillId="0" borderId="49" xfId="0" applyBorder="1"/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5" xfId="0" applyBorder="1" applyAlignment="1">
      <alignment horizontal="right"/>
    </xf>
    <xf numFmtId="0" fontId="0" fillId="0" borderId="25" xfId="0" applyBorder="1"/>
    <xf numFmtId="0" fontId="0" fillId="0" borderId="31" xfId="0" applyBorder="1"/>
    <xf numFmtId="0" fontId="0" fillId="2" borderId="22" xfId="0" applyFill="1" applyBorder="1"/>
    <xf numFmtId="0" fontId="0" fillId="2" borderId="25" xfId="0" applyFill="1" applyBorder="1"/>
    <xf numFmtId="0" fontId="0" fillId="2" borderId="31" xfId="0" applyFill="1" applyBorder="1"/>
    <xf numFmtId="0" fontId="0" fillId="2" borderId="46" xfId="0" applyFill="1" applyBorder="1"/>
    <xf numFmtId="0" fontId="0" fillId="2" borderId="0" xfId="0" applyFill="1" applyBorder="1"/>
    <xf numFmtId="0" fontId="0" fillId="2" borderId="27" xfId="0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0" borderId="22" xfId="0" applyFill="1" applyBorder="1"/>
    <xf numFmtId="0" fontId="0" fillId="0" borderId="25" xfId="0" applyFill="1" applyBorder="1"/>
    <xf numFmtId="0" fontId="0" fillId="0" borderId="31" xfId="0" applyFill="1" applyBorder="1"/>
    <xf numFmtId="0" fontId="0" fillId="0" borderId="46" xfId="0" applyFill="1" applyBorder="1"/>
    <xf numFmtId="0" fontId="0" fillId="0" borderId="27" xfId="0" applyFill="1" applyBorder="1"/>
    <xf numFmtId="0" fontId="0" fillId="0" borderId="17" xfId="0" applyFill="1" applyBorder="1"/>
    <xf numFmtId="0" fontId="0" fillId="0" borderId="18" xfId="0" applyFill="1" applyBorder="1"/>
    <xf numFmtId="0" fontId="0" fillId="0" borderId="19" xfId="0" applyFill="1" applyBorder="1"/>
    <xf numFmtId="0" fontId="5" fillId="0" borderId="0" xfId="0" applyFont="1" applyFill="1" applyBorder="1"/>
    <xf numFmtId="0" fontId="0" fillId="0" borderId="18" xfId="0" applyFill="1" applyBorder="1" applyAlignment="1"/>
    <xf numFmtId="0" fontId="0" fillId="0" borderId="34" xfId="0" applyBorder="1" applyAlignment="1">
      <alignment horizontal="right"/>
    </xf>
    <xf numFmtId="0" fontId="0" fillId="0" borderId="10" xfId="0" applyFill="1" applyBorder="1" applyAlignment="1">
      <alignment horizontal="center"/>
    </xf>
    <xf numFmtId="0" fontId="4" fillId="0" borderId="34" xfId="0" applyFont="1" applyBorder="1" applyAlignment="1">
      <alignment horizontal="right"/>
    </xf>
    <xf numFmtId="0" fontId="2" fillId="0" borderId="0" xfId="0" applyFont="1" applyFill="1" applyBorder="1" applyAlignment="1"/>
    <xf numFmtId="0" fontId="4" fillId="0" borderId="0" xfId="0" applyFont="1" applyBorder="1" applyAlignment="1">
      <alignment horizontal="right"/>
    </xf>
    <xf numFmtId="0" fontId="0" fillId="0" borderId="18" xfId="0" applyBorder="1" applyAlignment="1">
      <alignment horizontal="right"/>
    </xf>
    <xf numFmtId="2" fontId="0" fillId="0" borderId="46" xfId="0" applyNumberFormat="1" applyBorder="1"/>
    <xf numFmtId="2" fontId="0" fillId="0" borderId="27" xfId="0" applyNumberFormat="1" applyBorder="1"/>
    <xf numFmtId="0" fontId="0" fillId="0" borderId="20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50" xfId="0" applyBorder="1"/>
    <xf numFmtId="0" fontId="0" fillId="0" borderId="51" xfId="0" applyBorder="1" applyAlignment="1">
      <alignment horizontal="center"/>
    </xf>
    <xf numFmtId="0" fontId="0" fillId="0" borderId="53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1" xfId="0" applyBorder="1"/>
    <xf numFmtId="0" fontId="0" fillId="0" borderId="52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0" fillId="0" borderId="55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164" fontId="0" fillId="0" borderId="46" xfId="0" applyNumberFormat="1" applyBorder="1"/>
    <xf numFmtId="165" fontId="0" fillId="0" borderId="46" xfId="0" applyNumberFormat="1" applyBorder="1"/>
    <xf numFmtId="165" fontId="0" fillId="0" borderId="27" xfId="0" applyNumberFormat="1" applyBorder="1"/>
    <xf numFmtId="165" fontId="0" fillId="0" borderId="17" xfId="0" applyNumberFormat="1" applyBorder="1"/>
    <xf numFmtId="165" fontId="0" fillId="0" borderId="19" xfId="0" applyNumberFormat="1" applyBorder="1"/>
    <xf numFmtId="0" fontId="5" fillId="0" borderId="9" xfId="0" applyFont="1" applyFill="1" applyBorder="1" applyAlignment="1">
      <alignment horizontal="center"/>
    </xf>
    <xf numFmtId="0" fontId="0" fillId="0" borderId="58" xfId="0" applyBorder="1"/>
    <xf numFmtId="0" fontId="9" fillId="0" borderId="0" xfId="0" applyFont="1"/>
    <xf numFmtId="0" fontId="0" fillId="0" borderId="59" xfId="0" applyBorder="1"/>
    <xf numFmtId="0" fontId="0" fillId="0" borderId="52" xfId="0" applyBorder="1" applyAlignment="1">
      <alignment horizontal="center"/>
    </xf>
    <xf numFmtId="0" fontId="13" fillId="0" borderId="0" xfId="1" applyFont="1" applyAlignment="1" applyProtection="1"/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0" xfId="0" applyBorder="1"/>
    <xf numFmtId="0" fontId="0" fillId="0" borderId="61" xfId="0" applyBorder="1"/>
    <xf numFmtId="0" fontId="0" fillId="0" borderId="61" xfId="0" applyBorder="1" applyAlignment="1">
      <alignment horizontal="right"/>
    </xf>
    <xf numFmtId="0" fontId="0" fillId="0" borderId="62" xfId="0" applyBorder="1"/>
    <xf numFmtId="0" fontId="0" fillId="0" borderId="63" xfId="0" applyBorder="1"/>
    <xf numFmtId="0" fontId="0" fillId="0" borderId="64" xfId="0" applyBorder="1"/>
    <xf numFmtId="0" fontId="0" fillId="0" borderId="65" xfId="0" applyBorder="1"/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67" xfId="0" applyBorder="1"/>
    <xf numFmtId="164" fontId="0" fillId="0" borderId="17" xfId="0" applyNumberFormat="1" applyBorder="1"/>
    <xf numFmtId="0" fontId="5" fillId="0" borderId="72" xfId="0" applyFont="1" applyBorder="1" applyAlignment="1">
      <alignment horizontal="center"/>
    </xf>
    <xf numFmtId="0" fontId="0" fillId="0" borderId="73" xfId="0" applyBorder="1"/>
    <xf numFmtId="0" fontId="0" fillId="0" borderId="0" xfId="0" applyAlignment="1">
      <alignment horizontal="center"/>
    </xf>
    <xf numFmtId="0" fontId="0" fillId="0" borderId="71" xfId="0" applyBorder="1"/>
    <xf numFmtId="0" fontId="0" fillId="0" borderId="65" xfId="0" applyFill="1" applyBorder="1"/>
    <xf numFmtId="0" fontId="0" fillId="0" borderId="0" xfId="0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74" xfId="0" applyBorder="1"/>
    <xf numFmtId="0" fontId="0" fillId="0" borderId="65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75" xfId="0" applyBorder="1"/>
    <xf numFmtId="0" fontId="0" fillId="0" borderId="76" xfId="0" applyBorder="1"/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0" fillId="0" borderId="80" xfId="0" applyBorder="1"/>
    <xf numFmtId="0" fontId="0" fillId="0" borderId="65" xfId="0" applyBorder="1" applyAlignment="1">
      <alignment horizontal="right"/>
    </xf>
    <xf numFmtId="0" fontId="5" fillId="0" borderId="65" xfId="0" applyFont="1" applyBorder="1" applyAlignment="1">
      <alignment horizontal="center"/>
    </xf>
    <xf numFmtId="164" fontId="0" fillId="0" borderId="65" xfId="0" applyNumberFormat="1" applyBorder="1"/>
    <xf numFmtId="164" fontId="0" fillId="0" borderId="73" xfId="0" applyNumberFormat="1" applyBorder="1"/>
    <xf numFmtId="164" fontId="0" fillId="0" borderId="3" xfId="0" applyNumberFormat="1" applyBorder="1"/>
    <xf numFmtId="164" fontId="0" fillId="0" borderId="27" xfId="0" applyNumberFormat="1" applyBorder="1"/>
    <xf numFmtId="164" fontId="0" fillId="0" borderId="19" xfId="0" applyNumberFormat="1" applyBorder="1"/>
    <xf numFmtId="0" fontId="0" fillId="0" borderId="81" xfId="0" applyBorder="1"/>
    <xf numFmtId="165" fontId="0" fillId="0" borderId="73" xfId="0" applyNumberFormat="1" applyBorder="1"/>
    <xf numFmtId="165" fontId="0" fillId="0" borderId="65" xfId="0" applyNumberFormat="1" applyBorder="1"/>
    <xf numFmtId="0" fontId="0" fillId="0" borderId="0" xfId="0" applyAlignment="1">
      <alignment horizontal="center"/>
    </xf>
    <xf numFmtId="0" fontId="0" fillId="0" borderId="53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77" xfId="0" applyFill="1" applyBorder="1"/>
    <xf numFmtId="0" fontId="0" fillId="2" borderId="80" xfId="0" applyFill="1" applyBorder="1"/>
    <xf numFmtId="0" fontId="0" fillId="2" borderId="65" xfId="0" applyFill="1" applyBorder="1"/>
    <xf numFmtId="0" fontId="0" fillId="0" borderId="77" xfId="0" applyFill="1" applyBorder="1"/>
    <xf numFmtId="0" fontId="0" fillId="0" borderId="67" xfId="0" applyBorder="1" applyAlignment="1">
      <alignment horizontal="right"/>
    </xf>
    <xf numFmtId="164" fontId="0" fillId="0" borderId="79" xfId="0" applyNumberFormat="1" applyBorder="1"/>
    <xf numFmtId="164" fontId="0" fillId="0" borderId="80" xfId="0" applyNumberFormat="1" applyBorder="1"/>
    <xf numFmtId="0" fontId="0" fillId="0" borderId="0" xfId="0" applyAlignment="1">
      <alignment horizontal="center"/>
    </xf>
    <xf numFmtId="0" fontId="0" fillId="0" borderId="53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66" xfId="0" applyBorder="1"/>
    <xf numFmtId="164" fontId="0" fillId="0" borderId="66" xfId="0" applyNumberFormat="1" applyBorder="1"/>
    <xf numFmtId="0" fontId="0" fillId="0" borderId="0" xfId="0" applyAlignment="1">
      <alignment horizontal="center"/>
    </xf>
    <xf numFmtId="0" fontId="0" fillId="0" borderId="53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78" xfId="0" applyBorder="1" applyAlignment="1">
      <alignment horizontal="center"/>
    </xf>
    <xf numFmtId="0" fontId="0" fillId="0" borderId="80" xfId="0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9" fontId="0" fillId="0" borderId="0" xfId="4" applyFont="1" applyAlignment="1">
      <alignment horizontal="center"/>
    </xf>
    <xf numFmtId="9" fontId="0" fillId="0" borderId="51" xfId="4" applyFont="1" applyBorder="1" applyAlignment="1">
      <alignment horizontal="center"/>
    </xf>
    <xf numFmtId="9" fontId="0" fillId="0" borderId="53" xfId="4" applyFont="1" applyBorder="1" applyAlignment="1">
      <alignment horizontal="center"/>
    </xf>
    <xf numFmtId="9" fontId="0" fillId="0" borderId="52" xfId="4" applyFont="1" applyBorder="1" applyAlignment="1">
      <alignment horizontal="center"/>
    </xf>
    <xf numFmtId="9" fontId="0" fillId="0" borderId="0" xfId="4" applyFont="1" applyBorder="1" applyAlignment="1">
      <alignment horizontal="center"/>
    </xf>
    <xf numFmtId="0" fontId="0" fillId="0" borderId="82" xfId="0" applyBorder="1"/>
    <xf numFmtId="0" fontId="0" fillId="0" borderId="83" xfId="0" applyBorder="1"/>
    <xf numFmtId="0" fontId="0" fillId="0" borderId="84" xfId="0" applyBorder="1"/>
    <xf numFmtId="0" fontId="0" fillId="0" borderId="85" xfId="0" applyBorder="1"/>
    <xf numFmtId="0" fontId="0" fillId="0" borderId="86" xfId="0" applyBorder="1"/>
    <xf numFmtId="0" fontId="0" fillId="0" borderId="87" xfId="0" applyBorder="1"/>
    <xf numFmtId="0" fontId="0" fillId="0" borderId="0" xfId="0" applyAlignment="1">
      <alignment horizontal="center" vertical="center"/>
    </xf>
    <xf numFmtId="0" fontId="0" fillId="3" borderId="0" xfId="0" applyFill="1" applyBorder="1"/>
    <xf numFmtId="165" fontId="0" fillId="0" borderId="1" xfId="0" applyNumberFormat="1" applyBorder="1"/>
    <xf numFmtId="165" fontId="0" fillId="0" borderId="3" xfId="0" applyNumberFormat="1" applyBorder="1"/>
    <xf numFmtId="3" fontId="0" fillId="0" borderId="0" xfId="0" applyNumberFormat="1" applyBorder="1"/>
    <xf numFmtId="2" fontId="0" fillId="0" borderId="73" xfId="0" applyNumberFormat="1" applyBorder="1"/>
    <xf numFmtId="2" fontId="0" fillId="0" borderId="1" xfId="0" applyNumberFormat="1" applyBorder="1"/>
    <xf numFmtId="0" fontId="0" fillId="0" borderId="89" xfId="0" applyBorder="1"/>
    <xf numFmtId="0" fontId="0" fillId="0" borderId="90" xfId="0" applyBorder="1"/>
    <xf numFmtId="0" fontId="0" fillId="0" borderId="95" xfId="0" applyBorder="1" applyAlignment="1">
      <alignment horizontal="center"/>
    </xf>
    <xf numFmtId="0" fontId="0" fillId="0" borderId="95" xfId="0" applyBorder="1"/>
    <xf numFmtId="0" fontId="0" fillId="0" borderId="93" xfId="0" applyBorder="1"/>
    <xf numFmtId="0" fontId="0" fillId="0" borderId="94" xfId="0" applyBorder="1"/>
    <xf numFmtId="0" fontId="0" fillId="0" borderId="96" xfId="0" applyBorder="1"/>
    <xf numFmtId="0" fontId="0" fillId="0" borderId="97" xfId="0" applyBorder="1"/>
    <xf numFmtId="0" fontId="0" fillId="0" borderId="91" xfId="0" applyBorder="1" applyAlignment="1">
      <alignment horizontal="right"/>
    </xf>
    <xf numFmtId="0" fontId="0" fillId="0" borderId="92" xfId="0" applyBorder="1"/>
    <xf numFmtId="0" fontId="0" fillId="0" borderId="93" xfId="0" applyBorder="1" applyAlignment="1">
      <alignment horizontal="center"/>
    </xf>
    <xf numFmtId="0" fontId="0" fillId="0" borderId="94" xfId="0" applyBorder="1" applyAlignment="1">
      <alignment horizontal="center"/>
    </xf>
    <xf numFmtId="0" fontId="0" fillId="0" borderId="73" xfId="0" applyFill="1" applyBorder="1" applyAlignment="1">
      <alignment horizontal="center"/>
    </xf>
    <xf numFmtId="0" fontId="0" fillId="0" borderId="91" xfId="0" applyBorder="1"/>
    <xf numFmtId="0" fontId="0" fillId="0" borderId="98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65" xfId="0" applyFill="1" applyBorder="1" applyAlignment="1">
      <alignment horizontal="center"/>
    </xf>
    <xf numFmtId="0" fontId="0" fillId="0" borderId="88" xfId="0" applyBorder="1"/>
    <xf numFmtId="0" fontId="0" fillId="0" borderId="98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9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0" xfId="0" applyFont="1" applyAlignment="1">
      <alignment horizontal="center"/>
    </xf>
    <xf numFmtId="0" fontId="14" fillId="0" borderId="17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99" xfId="0" applyBorder="1"/>
    <xf numFmtId="0" fontId="0" fillId="0" borderId="100" xfId="0" applyBorder="1"/>
    <xf numFmtId="0" fontId="0" fillId="0" borderId="102" xfId="0" applyBorder="1"/>
    <xf numFmtId="0" fontId="0" fillId="0" borderId="103" xfId="0" applyBorder="1"/>
    <xf numFmtId="0" fontId="0" fillId="0" borderId="104" xfId="0" applyBorder="1"/>
    <xf numFmtId="0" fontId="0" fillId="0" borderId="106" xfId="0" applyBorder="1"/>
    <xf numFmtId="0" fontId="0" fillId="3" borderId="106" xfId="0" applyFill="1" applyBorder="1"/>
    <xf numFmtId="0" fontId="0" fillId="0" borderId="107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65" xfId="0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99" xfId="0" applyBorder="1" applyAlignment="1">
      <alignment horizontal="center"/>
    </xf>
    <xf numFmtId="0" fontId="0" fillId="0" borderId="106" xfId="0" applyBorder="1" applyAlignment="1">
      <alignment horizontal="center"/>
    </xf>
    <xf numFmtId="0" fontId="0" fillId="0" borderId="100" xfId="0" applyBorder="1" applyAlignment="1">
      <alignment horizontal="center"/>
    </xf>
    <xf numFmtId="0" fontId="0" fillId="0" borderId="101" xfId="0" applyBorder="1"/>
    <xf numFmtId="0" fontId="0" fillId="0" borderId="105" xfId="0" applyBorder="1" applyAlignment="1">
      <alignment horizontal="right"/>
    </xf>
    <xf numFmtId="0" fontId="4" fillId="0" borderId="105" xfId="0" applyFont="1" applyBorder="1" applyAlignment="1">
      <alignment horizontal="right"/>
    </xf>
    <xf numFmtId="0" fontId="0" fillId="0" borderId="108" xfId="0" applyBorder="1"/>
    <xf numFmtId="0" fontId="0" fillId="0" borderId="108" xfId="0" applyBorder="1" applyAlignment="1">
      <alignment horizontal="center"/>
    </xf>
    <xf numFmtId="0" fontId="0" fillId="0" borderId="109" xfId="0" applyBorder="1"/>
    <xf numFmtId="0" fontId="0" fillId="0" borderId="111" xfId="0" applyBorder="1"/>
    <xf numFmtId="0" fontId="0" fillId="0" borderId="0" xfId="0" applyAlignment="1">
      <alignment horizontal="center"/>
    </xf>
    <xf numFmtId="0" fontId="0" fillId="0" borderId="65" xfId="0" applyBorder="1" applyAlignment="1">
      <alignment horizontal="center"/>
    </xf>
    <xf numFmtId="0" fontId="0" fillId="2" borderId="109" xfId="0" applyFill="1" applyBorder="1"/>
    <xf numFmtId="0" fontId="0" fillId="2" borderId="73" xfId="0" applyFill="1" applyBorder="1"/>
    <xf numFmtId="0" fontId="0" fillId="2" borderId="110" xfId="0" applyFill="1" applyBorder="1"/>
    <xf numFmtId="0" fontId="0" fillId="2" borderId="99" xfId="0" applyFill="1" applyBorder="1"/>
    <xf numFmtId="0" fontId="0" fillId="2" borderId="106" xfId="0" applyFill="1" applyBorder="1"/>
    <xf numFmtId="0" fontId="0" fillId="2" borderId="100" xfId="0" applyFill="1" applyBorder="1"/>
    <xf numFmtId="0" fontId="0" fillId="2" borderId="99" xfId="0" applyFill="1" applyBorder="1" applyAlignment="1">
      <alignment horizontal="center"/>
    </xf>
    <xf numFmtId="0" fontId="0" fillId="2" borderId="106" xfId="0" applyFill="1" applyBorder="1" applyAlignment="1">
      <alignment horizontal="center"/>
    </xf>
    <xf numFmtId="0" fontId="0" fillId="2" borderId="100" xfId="0" applyFill="1" applyBorder="1" applyAlignment="1">
      <alignment horizontal="center"/>
    </xf>
    <xf numFmtId="0" fontId="0" fillId="2" borderId="92" xfId="0" applyFill="1" applyBorder="1"/>
    <xf numFmtId="0" fontId="0" fillId="2" borderId="46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32" xfId="0" applyFill="1" applyBorder="1"/>
    <xf numFmtId="0" fontId="0" fillId="2" borderId="17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/>
    <xf numFmtId="0" fontId="0" fillId="2" borderId="65" xfId="0" applyFill="1" applyBorder="1" applyAlignment="1">
      <alignment horizontal="center"/>
    </xf>
    <xf numFmtId="0" fontId="0" fillId="0" borderId="0" xfId="0" applyAlignment="1">
      <alignment horizontal="center"/>
    </xf>
    <xf numFmtId="164" fontId="0" fillId="0" borderId="112" xfId="0" applyNumberFormat="1" applyBorder="1"/>
    <xf numFmtId="164" fontId="0" fillId="0" borderId="113" xfId="0" applyNumberFormat="1" applyBorder="1"/>
    <xf numFmtId="164" fontId="0" fillId="0" borderId="114" xfId="0" applyNumberFormat="1" applyBorder="1"/>
    <xf numFmtId="0" fontId="0" fillId="0" borderId="29" xfId="0" applyBorder="1"/>
    <xf numFmtId="0" fontId="0" fillId="0" borderId="0" xfId="0" applyNumberFormat="1" applyBorder="1"/>
    <xf numFmtId="164" fontId="0" fillId="0" borderId="108" xfId="0" applyNumberFormat="1" applyBorder="1"/>
    <xf numFmtId="0" fontId="0" fillId="0" borderId="115" xfId="0" applyBorder="1"/>
    <xf numFmtId="0" fontId="0" fillId="0" borderId="116" xfId="0" applyBorder="1"/>
    <xf numFmtId="0" fontId="0" fillId="0" borderId="117" xfId="0" applyBorder="1"/>
    <xf numFmtId="0" fontId="0" fillId="0" borderId="113" xfId="0" applyBorder="1"/>
    <xf numFmtId="0" fontId="0" fillId="0" borderId="113" xfId="0" applyNumberFormat="1" applyBorder="1"/>
    <xf numFmtId="0" fontId="0" fillId="0" borderId="118" xfId="0" applyBorder="1"/>
    <xf numFmtId="164" fontId="0" fillId="0" borderId="106" xfId="0" applyNumberFormat="1" applyBorder="1"/>
    <xf numFmtId="0" fontId="0" fillId="3" borderId="118" xfId="0" applyFill="1" applyBorder="1"/>
    <xf numFmtId="164" fontId="0" fillId="0" borderId="118" xfId="0" applyNumberFormat="1" applyBorder="1"/>
    <xf numFmtId="0" fontId="0" fillId="0" borderId="119" xfId="0" applyBorder="1"/>
    <xf numFmtId="0" fontId="0" fillId="0" borderId="112" xfId="0" applyBorder="1"/>
    <xf numFmtId="0" fontId="0" fillId="0" borderId="114" xfId="0" applyBorder="1"/>
    <xf numFmtId="164" fontId="0" fillId="0" borderId="100" xfId="0" applyNumberFormat="1" applyBorder="1"/>
    <xf numFmtId="164" fontId="0" fillId="0" borderId="111" xfId="0" applyNumberFormat="1" applyBorder="1"/>
    <xf numFmtId="164" fontId="0" fillId="0" borderId="32" xfId="0" applyNumberFormat="1" applyBorder="1"/>
    <xf numFmtId="164" fontId="0" fillId="0" borderId="20" xfId="0" applyNumberFormat="1" applyBorder="1"/>
    <xf numFmtId="164" fontId="0" fillId="0" borderId="99" xfId="0" applyNumberFormat="1" applyBorder="1"/>
    <xf numFmtId="0" fontId="0" fillId="0" borderId="0" xfId="0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0" xfId="0" applyBorder="1"/>
    <xf numFmtId="0" fontId="0" fillId="0" borderId="121" xfId="0" applyBorder="1"/>
    <xf numFmtId="0" fontId="0" fillId="0" borderId="122" xfId="0" applyBorder="1"/>
    <xf numFmtId="0" fontId="0" fillId="0" borderId="123" xfId="0" applyBorder="1"/>
    <xf numFmtId="0" fontId="0" fillId="3" borderId="124" xfId="0" applyFill="1" applyBorder="1"/>
    <xf numFmtId="0" fontId="0" fillId="3" borderId="125" xfId="0" applyFill="1" applyBorder="1"/>
    <xf numFmtId="0" fontId="0" fillId="3" borderId="126" xfId="0" applyFill="1" applyBorder="1"/>
    <xf numFmtId="0" fontId="0" fillId="0" borderId="127" xfId="0" applyBorder="1" applyAlignment="1">
      <alignment horizontal="right"/>
    </xf>
    <xf numFmtId="0" fontId="0" fillId="0" borderId="128" xfId="0" applyBorder="1"/>
    <xf numFmtId="0" fontId="0" fillId="0" borderId="129" xfId="0" applyBorder="1"/>
    <xf numFmtId="0" fontId="0" fillId="0" borderId="130" xfId="0" applyBorder="1"/>
    <xf numFmtId="0" fontId="0" fillId="0" borderId="131" xfId="0" applyBorder="1"/>
    <xf numFmtId="0" fontId="0" fillId="0" borderId="131" xfId="0" applyBorder="1" applyAlignment="1">
      <alignment horizontal="center"/>
    </xf>
    <xf numFmtId="0" fontId="0" fillId="3" borderId="113" xfId="0" applyFill="1" applyBorder="1"/>
    <xf numFmtId="0" fontId="0" fillId="0" borderId="132" xfId="0" applyBorder="1"/>
    <xf numFmtId="0" fontId="0" fillId="0" borderId="133" xfId="0" applyBorder="1"/>
    <xf numFmtId="0" fontId="0" fillId="0" borderId="118" xfId="0" applyBorder="1" applyAlignment="1">
      <alignment horizontal="center"/>
    </xf>
    <xf numFmtId="0" fontId="0" fillId="0" borderId="134" xfId="0" applyBorder="1"/>
    <xf numFmtId="0" fontId="0" fillId="0" borderId="135" xfId="0" applyBorder="1"/>
    <xf numFmtId="0" fontId="0" fillId="0" borderId="136" xfId="0" applyBorder="1"/>
    <xf numFmtId="0" fontId="0" fillId="0" borderId="137" xfId="0" applyBorder="1"/>
    <xf numFmtId="0" fontId="0" fillId="0" borderId="138" xfId="0" applyBorder="1"/>
    <xf numFmtId="0" fontId="0" fillId="0" borderId="139" xfId="0" applyBorder="1"/>
    <xf numFmtId="0" fontId="0" fillId="0" borderId="140" xfId="0" applyBorder="1"/>
    <xf numFmtId="0" fontId="0" fillId="0" borderId="140" xfId="0" applyBorder="1" applyAlignment="1">
      <alignment horizontal="center"/>
    </xf>
    <xf numFmtId="0" fontId="0" fillId="0" borderId="141" xfId="0" applyBorder="1"/>
    <xf numFmtId="0" fontId="0" fillId="0" borderId="142" xfId="0" applyBorder="1"/>
    <xf numFmtId="0" fontId="0" fillId="0" borderId="143" xfId="0" applyBorder="1"/>
    <xf numFmtId="0" fontId="0" fillId="0" borderId="144" xfId="0" applyBorder="1"/>
    <xf numFmtId="0" fontId="0" fillId="0" borderId="145" xfId="0" applyBorder="1"/>
    <xf numFmtId="0" fontId="0" fillId="0" borderId="146" xfId="0" applyBorder="1"/>
    <xf numFmtId="0" fontId="0" fillId="0" borderId="147" xfId="0" applyBorder="1"/>
    <xf numFmtId="0" fontId="0" fillId="0" borderId="147" xfId="0" applyBorder="1" applyAlignment="1">
      <alignment horizontal="center"/>
    </xf>
    <xf numFmtId="0" fontId="0" fillId="0" borderId="148" xfId="0" applyBorder="1"/>
    <xf numFmtId="0" fontId="0" fillId="0" borderId="149" xfId="0" applyBorder="1"/>
    <xf numFmtId="0" fontId="0" fillId="0" borderId="150" xfId="0" applyBorder="1"/>
    <xf numFmtId="0" fontId="0" fillId="0" borderId="151" xfId="0" applyBorder="1"/>
    <xf numFmtId="0" fontId="0" fillId="0" borderId="152" xfId="0" applyBorder="1"/>
    <xf numFmtId="0" fontId="0" fillId="0" borderId="153" xfId="0" applyBorder="1"/>
    <xf numFmtId="0" fontId="0" fillId="0" borderId="154" xfId="0" applyBorder="1"/>
    <xf numFmtId="0" fontId="0" fillId="0" borderId="154" xfId="0" applyBorder="1" applyAlignment="1">
      <alignment horizontal="center"/>
    </xf>
    <xf numFmtId="0" fontId="0" fillId="0" borderId="155" xfId="0" applyBorder="1"/>
    <xf numFmtId="0" fontId="0" fillId="0" borderId="156" xfId="0" applyBorder="1"/>
    <xf numFmtId="0" fontId="0" fillId="0" borderId="157" xfId="0" applyBorder="1"/>
    <xf numFmtId="0" fontId="0" fillId="0" borderId="158" xfId="0" applyBorder="1"/>
    <xf numFmtId="0" fontId="0" fillId="0" borderId="159" xfId="0" applyBorder="1"/>
    <xf numFmtId="0" fontId="0" fillId="0" borderId="160" xfId="0" applyBorder="1"/>
    <xf numFmtId="0" fontId="0" fillId="3" borderId="161" xfId="0" applyFill="1" applyBorder="1"/>
    <xf numFmtId="0" fontId="0" fillId="3" borderId="162" xfId="0" applyFill="1" applyBorder="1"/>
    <xf numFmtId="0" fontId="0" fillId="3" borderId="163" xfId="0" applyFill="1" applyBorder="1"/>
    <xf numFmtId="0" fontId="0" fillId="0" borderId="158" xfId="0" applyBorder="1" applyAlignment="1">
      <alignment horizontal="right"/>
    </xf>
    <xf numFmtId="0" fontId="0" fillId="0" borderId="164" xfId="0" applyBorder="1"/>
    <xf numFmtId="0" fontId="0" fillId="0" borderId="165" xfId="0" applyBorder="1"/>
    <xf numFmtId="0" fontId="0" fillId="0" borderId="166" xfId="0" applyBorder="1" applyAlignment="1">
      <alignment horizontal="center"/>
    </xf>
    <xf numFmtId="0" fontId="0" fillId="0" borderId="167" xfId="0" applyBorder="1" applyAlignment="1">
      <alignment horizontal="center"/>
    </xf>
    <xf numFmtId="0" fontId="0" fillId="0" borderId="168" xfId="0" applyBorder="1" applyAlignment="1">
      <alignment horizontal="center"/>
    </xf>
    <xf numFmtId="0" fontId="0" fillId="0" borderId="120" xfId="0" applyBorder="1" applyAlignment="1">
      <alignment horizontal="center"/>
    </xf>
    <xf numFmtId="0" fontId="0" fillId="3" borderId="167" xfId="0" applyFill="1" applyBorder="1"/>
    <xf numFmtId="0" fontId="0" fillId="0" borderId="167" xfId="0" applyBorder="1"/>
    <xf numFmtId="0" fontId="0" fillId="0" borderId="169" xfId="0" applyBorder="1"/>
    <xf numFmtId="0" fontId="0" fillId="0" borderId="170" xfId="0" applyBorder="1" applyAlignment="1">
      <alignment horizontal="center"/>
    </xf>
    <xf numFmtId="0" fontId="0" fillId="0" borderId="171" xfId="0" applyBorder="1" applyAlignment="1">
      <alignment horizontal="center"/>
    </xf>
    <xf numFmtId="0" fontId="0" fillId="0" borderId="171" xfId="0" applyBorder="1"/>
    <xf numFmtId="0" fontId="8" fillId="0" borderId="170" xfId="0" applyFont="1" applyBorder="1" applyAlignment="1">
      <alignment horizontal="center"/>
    </xf>
    <xf numFmtId="0" fontId="0" fillId="0" borderId="153" xfId="0" applyBorder="1" applyAlignment="1">
      <alignment horizontal="center"/>
    </xf>
    <xf numFmtId="0" fontId="8" fillId="0" borderId="159" xfId="0" applyFont="1" applyBorder="1" applyAlignment="1">
      <alignment horizontal="center"/>
    </xf>
    <xf numFmtId="0" fontId="14" fillId="0" borderId="170" xfId="0" applyFont="1" applyBorder="1" applyAlignment="1">
      <alignment horizontal="center"/>
    </xf>
    <xf numFmtId="0" fontId="14" fillId="0" borderId="159" xfId="0" applyFont="1" applyBorder="1" applyAlignment="1">
      <alignment horizontal="center"/>
    </xf>
    <xf numFmtId="0" fontId="0" fillId="0" borderId="118" xfId="0" applyBorder="1" applyAlignment="1">
      <alignment horizontal="center" vertical="center"/>
    </xf>
    <xf numFmtId="0" fontId="0" fillId="0" borderId="170" xfId="0" applyBorder="1" applyAlignment="1">
      <alignment horizontal="center" vertical="center"/>
    </xf>
    <xf numFmtId="0" fontId="0" fillId="0" borderId="153" xfId="0" applyBorder="1" applyAlignment="1">
      <alignment horizontal="center" vertical="center"/>
    </xf>
    <xf numFmtId="0" fontId="0" fillId="0" borderId="167" xfId="0" applyBorder="1" applyAlignment="1">
      <alignment horizontal="center" vertical="center"/>
    </xf>
    <xf numFmtId="0" fontId="0" fillId="0" borderId="159" xfId="0" applyBorder="1" applyAlignment="1">
      <alignment horizontal="center" vertical="center"/>
    </xf>
    <xf numFmtId="0" fontId="0" fillId="0" borderId="152" xfId="0" applyBorder="1" applyAlignment="1">
      <alignment horizontal="center" vertical="center"/>
    </xf>
    <xf numFmtId="0" fontId="0" fillId="0" borderId="152" xfId="0" applyBorder="1" applyAlignment="1">
      <alignment horizontal="center"/>
    </xf>
    <xf numFmtId="0" fontId="0" fillId="3" borderId="152" xfId="0" applyFill="1" applyBorder="1"/>
    <xf numFmtId="0" fontId="0" fillId="0" borderId="0" xfId="0" applyAlignment="1">
      <alignment horizontal="center"/>
    </xf>
    <xf numFmtId="0" fontId="0" fillId="0" borderId="172" xfId="0" applyBorder="1"/>
    <xf numFmtId="0" fontId="0" fillId="0" borderId="173" xfId="0" applyBorder="1"/>
    <xf numFmtId="0" fontId="0" fillId="0" borderId="174" xfId="0" applyBorder="1"/>
    <xf numFmtId="0" fontId="0" fillId="0" borderId="175" xfId="0" applyBorder="1" applyAlignment="1">
      <alignment horizontal="right"/>
    </xf>
    <xf numFmtId="0" fontId="4" fillId="0" borderId="175" xfId="0" applyFont="1" applyBorder="1" applyAlignment="1">
      <alignment horizontal="right"/>
    </xf>
    <xf numFmtId="0" fontId="0" fillId="0" borderId="175" xfId="0" applyBorder="1"/>
    <xf numFmtId="0" fontId="0" fillId="0" borderId="175" xfId="0" applyBorder="1" applyAlignment="1">
      <alignment horizontal="center"/>
    </xf>
    <xf numFmtId="0" fontId="0" fillId="0" borderId="176" xfId="0" applyBorder="1"/>
    <xf numFmtId="0" fontId="0" fillId="0" borderId="177" xfId="0" applyBorder="1"/>
    <xf numFmtId="0" fontId="0" fillId="0" borderId="0" xfId="0" applyAlignment="1">
      <alignment horizontal="center"/>
    </xf>
    <xf numFmtId="0" fontId="0" fillId="0" borderId="178" xfId="0" applyBorder="1"/>
    <xf numFmtId="0" fontId="0" fillId="0" borderId="113" xfId="0" applyBorder="1" applyAlignment="1">
      <alignment horizontal="center"/>
    </xf>
    <xf numFmtId="0" fontId="0" fillId="0" borderId="179" xfId="0" applyBorder="1"/>
    <xf numFmtId="0" fontId="0" fillId="0" borderId="180" xfId="0" applyBorder="1" applyAlignment="1">
      <alignment horizontal="center"/>
    </xf>
    <xf numFmtId="0" fontId="0" fillId="0" borderId="116" xfId="0" applyBorder="1" applyAlignment="1">
      <alignment horizontal="center"/>
    </xf>
    <xf numFmtId="0" fontId="0" fillId="0" borderId="115" xfId="0" applyBorder="1" applyAlignment="1">
      <alignment horizontal="center"/>
    </xf>
    <xf numFmtId="0" fontId="0" fillId="0" borderId="178" xfId="0" applyBorder="1" applyAlignment="1">
      <alignment horizontal="right"/>
    </xf>
    <xf numFmtId="0" fontId="0" fillId="3" borderId="181" xfId="0" applyFill="1" applyBorder="1"/>
    <xf numFmtId="0" fontId="0" fillId="3" borderId="182" xfId="0" applyFill="1" applyBorder="1"/>
    <xf numFmtId="0" fontId="0" fillId="3" borderId="183" xfId="0" applyFill="1" applyBorder="1"/>
    <xf numFmtId="0" fontId="0" fillId="0" borderId="173" xfId="0" applyBorder="1" applyAlignment="1">
      <alignment horizontal="center"/>
    </xf>
    <xf numFmtId="0" fontId="0" fillId="0" borderId="172" xfId="0" applyBorder="1" applyAlignment="1">
      <alignment horizontal="center"/>
    </xf>
    <xf numFmtId="0" fontId="0" fillId="0" borderId="112" xfId="0" applyBorder="1" applyAlignment="1">
      <alignment horizontal="center"/>
    </xf>
    <xf numFmtId="0" fontId="0" fillId="0" borderId="114" xfId="0" applyBorder="1" applyAlignment="1">
      <alignment horizontal="center"/>
    </xf>
    <xf numFmtId="0" fontId="0" fillId="0" borderId="108" xfId="0" applyFill="1" applyBorder="1" applyAlignment="1"/>
    <xf numFmtId="0" fontId="0" fillId="0" borderId="51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52" xfId="0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7" xfId="0" applyBorder="1" applyAlignment="1">
      <alignment horizontal="center"/>
    </xf>
    <xf numFmtId="0" fontId="0" fillId="0" borderId="35" xfId="0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35" xfId="0" applyFont="1" applyBorder="1" applyAlignment="1">
      <alignment horizontal="center"/>
    </xf>
  </cellXfs>
  <cellStyles count="5">
    <cellStyle name="Hyperlink" xfId="1" builtinId="8"/>
    <cellStyle name="Normal" xfId="0" builtinId="0"/>
    <cellStyle name="Normal 2" xfId="2"/>
    <cellStyle name="Normal 3" xfId="3"/>
    <cellStyle name="Percent" xfId="4" builtinId="5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Yield by Herbicide Dosage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RCBD!$A$4</c:f>
              <c:strCache>
                <c:ptCount val="1"/>
                <c:pt idx="0">
                  <c:v>Field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RCBD!$B$4:$G$4</c:f>
              <c:numCache>
                <c:formatCode>General</c:formatCode>
                <c:ptCount val="6"/>
                <c:pt idx="0">
                  <c:v>9.7000000000000011</c:v>
                </c:pt>
                <c:pt idx="1">
                  <c:v>19.2</c:v>
                </c:pt>
                <c:pt idx="2">
                  <c:v>8.3000000000000007</c:v>
                </c:pt>
                <c:pt idx="3">
                  <c:v>6.3</c:v>
                </c:pt>
                <c:pt idx="4">
                  <c:v>6.7</c:v>
                </c:pt>
                <c:pt idx="5">
                  <c:v>5.8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RCBD!$A$5</c:f>
              <c:strCache>
                <c:ptCount val="1"/>
                <c:pt idx="0">
                  <c:v>Field 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RCBD!$B$5:$G$5</c:f>
              <c:numCache>
                <c:formatCode>General</c:formatCode>
                <c:ptCount val="6"/>
                <c:pt idx="0">
                  <c:v>13</c:v>
                </c:pt>
                <c:pt idx="1">
                  <c:v>20.2</c:v>
                </c:pt>
                <c:pt idx="2">
                  <c:v>6.4</c:v>
                </c:pt>
                <c:pt idx="3">
                  <c:v>6</c:v>
                </c:pt>
                <c:pt idx="4">
                  <c:v>5.1999999999999993</c:v>
                </c:pt>
                <c:pt idx="5">
                  <c:v>3.6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RCBD!$A$6</c:f>
              <c:strCache>
                <c:ptCount val="1"/>
                <c:pt idx="0">
                  <c:v>Field 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RCBD!$B$6:$G$6</c:f>
              <c:numCache>
                <c:formatCode>General</c:formatCode>
                <c:ptCount val="6"/>
                <c:pt idx="0">
                  <c:v>15.6</c:v>
                </c:pt>
                <c:pt idx="1">
                  <c:v>17.7</c:v>
                </c:pt>
                <c:pt idx="2">
                  <c:v>6.1</c:v>
                </c:pt>
                <c:pt idx="3">
                  <c:v>3.9999999999999996</c:v>
                </c:pt>
                <c:pt idx="4">
                  <c:v>3.1</c:v>
                </c:pt>
                <c:pt idx="5">
                  <c:v>4.0999999999999996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RCBD!$A$7</c:f>
              <c:strCache>
                <c:ptCount val="1"/>
                <c:pt idx="0">
                  <c:v>Field 4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RCBD!$B$3:$G$3</c:f>
              <c:numCache>
                <c:formatCode>General</c:formatCode>
                <c:ptCount val="6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30</c:v>
                </c:pt>
              </c:numCache>
            </c:numRef>
          </c:cat>
          <c:val>
            <c:numRef>
              <c:f>RCBD!$B$7:$G$7</c:f>
              <c:numCache>
                <c:formatCode>General</c:formatCode>
                <c:ptCount val="6"/>
                <c:pt idx="0">
                  <c:v>7.1</c:v>
                </c:pt>
                <c:pt idx="1">
                  <c:v>11.8</c:v>
                </c:pt>
                <c:pt idx="2">
                  <c:v>1.7</c:v>
                </c:pt>
                <c:pt idx="3">
                  <c:v>0.5</c:v>
                </c:pt>
                <c:pt idx="4">
                  <c:v>0.8</c:v>
                </c:pt>
                <c:pt idx="5">
                  <c:v>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6502856"/>
        <c:axId val="466504424"/>
      </c:lineChart>
      <c:catAx>
        <c:axId val="466502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504424"/>
        <c:crosses val="autoZero"/>
        <c:auto val="1"/>
        <c:lblAlgn val="ctr"/>
        <c:lblOffset val="100"/>
        <c:noMultiLvlLbl val="0"/>
      </c:catAx>
      <c:valAx>
        <c:axId val="466504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502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'ANOVA Match 2.2'!$A$29</c:f>
              <c:strCache>
                <c:ptCount val="1"/>
                <c:pt idx="0">
                  <c:v>Pre</c:v>
                </c:pt>
              </c:strCache>
            </c:strRef>
          </c:tx>
          <c:cat>
            <c:strRef>
              <c:f>'ANOVA Match 2.2'!$B$28:$D$28</c:f>
              <c:strCache>
                <c:ptCount val="3"/>
                <c:pt idx="0">
                  <c:v>Product</c:v>
                </c:pt>
                <c:pt idx="1">
                  <c:v>Client</c:v>
                </c:pt>
                <c:pt idx="2">
                  <c:v>Action</c:v>
                </c:pt>
              </c:strCache>
            </c:strRef>
          </c:cat>
          <c:val>
            <c:numRef>
              <c:f>'ANOVA Match 2.2'!$B$29:$D$29</c:f>
              <c:numCache>
                <c:formatCode>General</c:formatCode>
                <c:ptCount val="3"/>
                <c:pt idx="0">
                  <c:v>15.5</c:v>
                </c:pt>
                <c:pt idx="1">
                  <c:v>20.3</c:v>
                </c:pt>
                <c:pt idx="2">
                  <c:v>22.3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'ANOVA Match 2.2'!$A$30</c:f>
              <c:strCache>
                <c:ptCount val="1"/>
                <c:pt idx="0">
                  <c:v>Post</c:v>
                </c:pt>
              </c:strCache>
            </c:strRef>
          </c:tx>
          <c:cat>
            <c:strRef>
              <c:f>'ANOVA Match 2.2'!$B$28:$D$28</c:f>
              <c:strCache>
                <c:ptCount val="3"/>
                <c:pt idx="0">
                  <c:v>Product</c:v>
                </c:pt>
                <c:pt idx="1">
                  <c:v>Client</c:v>
                </c:pt>
                <c:pt idx="2">
                  <c:v>Action</c:v>
                </c:pt>
              </c:strCache>
            </c:strRef>
          </c:cat>
          <c:val>
            <c:numRef>
              <c:f>'ANOVA Match 2.2'!$B$30:$D$30</c:f>
              <c:numCache>
                <c:formatCode>General</c:formatCode>
                <c:ptCount val="3"/>
                <c:pt idx="0">
                  <c:v>17.5</c:v>
                </c:pt>
                <c:pt idx="1">
                  <c:v>29.9</c:v>
                </c:pt>
                <c:pt idx="2">
                  <c:v>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782176"/>
        <c:axId val="467782568"/>
      </c:lineChart>
      <c:catAx>
        <c:axId val="467782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67782568"/>
        <c:crosses val="autoZero"/>
        <c:auto val="1"/>
        <c:lblAlgn val="ctr"/>
        <c:lblOffset val="100"/>
        <c:noMultiLvlLbl val="0"/>
      </c:catAx>
      <c:valAx>
        <c:axId val="467782568"/>
        <c:scaling>
          <c:orientation val="minMax"/>
          <c:min val="1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7782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'ANOVA Match 2.2'!$B$28</c:f>
              <c:strCache>
                <c:ptCount val="1"/>
                <c:pt idx="0">
                  <c:v>Product</c:v>
                </c:pt>
              </c:strCache>
            </c:strRef>
          </c:tx>
          <c:cat>
            <c:strRef>
              <c:f>'ANOVA Match 2.2'!$A$29:$A$30</c:f>
              <c:strCache>
                <c:ptCount val="2"/>
                <c:pt idx="0">
                  <c:v>Pre</c:v>
                </c:pt>
                <c:pt idx="1">
                  <c:v>Post</c:v>
                </c:pt>
              </c:strCache>
            </c:strRef>
          </c:cat>
          <c:val>
            <c:numRef>
              <c:f>'ANOVA Match 2.2'!$B$29:$B$30</c:f>
              <c:numCache>
                <c:formatCode>General</c:formatCode>
                <c:ptCount val="2"/>
                <c:pt idx="0">
                  <c:v>15.5</c:v>
                </c:pt>
                <c:pt idx="1">
                  <c:v>17.5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'ANOVA Match 2.2'!$C$28</c:f>
              <c:strCache>
                <c:ptCount val="1"/>
                <c:pt idx="0">
                  <c:v>Client</c:v>
                </c:pt>
              </c:strCache>
            </c:strRef>
          </c:tx>
          <c:cat>
            <c:strRef>
              <c:f>'ANOVA Match 2.2'!$A$29:$A$30</c:f>
              <c:strCache>
                <c:ptCount val="2"/>
                <c:pt idx="0">
                  <c:v>Pre</c:v>
                </c:pt>
                <c:pt idx="1">
                  <c:v>Post</c:v>
                </c:pt>
              </c:strCache>
            </c:strRef>
          </c:cat>
          <c:val>
            <c:numRef>
              <c:f>'ANOVA Match 2.2'!$C$29:$C$30</c:f>
              <c:numCache>
                <c:formatCode>General</c:formatCode>
                <c:ptCount val="2"/>
                <c:pt idx="0">
                  <c:v>20.3</c:v>
                </c:pt>
                <c:pt idx="1">
                  <c:v>29.9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'ANOVA Match 2.2'!$D$28</c:f>
              <c:strCache>
                <c:ptCount val="1"/>
                <c:pt idx="0">
                  <c:v>Action</c:v>
                </c:pt>
              </c:strCache>
            </c:strRef>
          </c:tx>
          <c:cat>
            <c:strRef>
              <c:f>'ANOVA Match 2.2'!$A$29:$A$30</c:f>
              <c:strCache>
                <c:ptCount val="2"/>
                <c:pt idx="0">
                  <c:v>Pre</c:v>
                </c:pt>
                <c:pt idx="1">
                  <c:v>Post</c:v>
                </c:pt>
              </c:strCache>
            </c:strRef>
          </c:cat>
          <c:val>
            <c:numRef>
              <c:f>'ANOVA Match 2.2'!$D$29:$D$30</c:f>
              <c:numCache>
                <c:formatCode>General</c:formatCode>
                <c:ptCount val="2"/>
                <c:pt idx="0">
                  <c:v>22.3</c:v>
                </c:pt>
                <c:pt idx="1">
                  <c:v>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776688"/>
        <c:axId val="467777864"/>
      </c:lineChart>
      <c:catAx>
        <c:axId val="4677766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67777864"/>
        <c:crosses val="autoZero"/>
        <c:auto val="1"/>
        <c:lblAlgn val="ctr"/>
        <c:lblOffset val="100"/>
        <c:noMultiLvlLbl val="0"/>
      </c:catAx>
      <c:valAx>
        <c:axId val="467777864"/>
        <c:scaling>
          <c:orientation val="minMax"/>
          <c:min val="1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77766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'ANOVA Match 2.3'!$I$9</c:f>
              <c:strCache>
                <c:ptCount val="1"/>
                <c:pt idx="0">
                  <c:v>Young</c:v>
                </c:pt>
              </c:strCache>
            </c:strRef>
          </c:tx>
          <c:cat>
            <c:strRef>
              <c:f>'ANOVA Match 2.3'!$J$8:$N$8</c:f>
              <c:strCache>
                <c:ptCount val="5"/>
                <c:pt idx="0">
                  <c:v>Day 1</c:v>
                </c:pt>
                <c:pt idx="1">
                  <c:v>Day 2</c:v>
                </c:pt>
                <c:pt idx="2">
                  <c:v>Day 3</c:v>
                </c:pt>
                <c:pt idx="3">
                  <c:v>Day 4</c:v>
                </c:pt>
                <c:pt idx="4">
                  <c:v>Day 5</c:v>
                </c:pt>
              </c:strCache>
            </c:strRef>
          </c:cat>
          <c:val>
            <c:numRef>
              <c:f>'ANOVA Match 2.3'!$J$9:$N$9</c:f>
              <c:numCache>
                <c:formatCode>General</c:formatCode>
                <c:ptCount val="5"/>
                <c:pt idx="0">
                  <c:v>184.85714285714286</c:v>
                </c:pt>
                <c:pt idx="1">
                  <c:v>259.85714285714283</c:v>
                </c:pt>
                <c:pt idx="2">
                  <c:v>382.85714285714283</c:v>
                </c:pt>
                <c:pt idx="3">
                  <c:v>362.57142857142856</c:v>
                </c:pt>
                <c:pt idx="4">
                  <c:v>383.71428571428572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'ANOVA Match 2.3'!$I$10</c:f>
              <c:strCache>
                <c:ptCount val="1"/>
                <c:pt idx="0">
                  <c:v>Middle</c:v>
                </c:pt>
              </c:strCache>
            </c:strRef>
          </c:tx>
          <c:cat>
            <c:strRef>
              <c:f>'ANOVA Match 2.3'!$J$8:$N$8</c:f>
              <c:strCache>
                <c:ptCount val="5"/>
                <c:pt idx="0">
                  <c:v>Day 1</c:v>
                </c:pt>
                <c:pt idx="1">
                  <c:v>Day 2</c:v>
                </c:pt>
                <c:pt idx="2">
                  <c:v>Day 3</c:v>
                </c:pt>
                <c:pt idx="3">
                  <c:v>Day 4</c:v>
                </c:pt>
                <c:pt idx="4">
                  <c:v>Day 5</c:v>
                </c:pt>
              </c:strCache>
            </c:strRef>
          </c:cat>
          <c:val>
            <c:numRef>
              <c:f>'ANOVA Match 2.3'!$J$10:$N$10</c:f>
              <c:numCache>
                <c:formatCode>General</c:formatCode>
                <c:ptCount val="5"/>
                <c:pt idx="0">
                  <c:v>54.428571428571431</c:v>
                </c:pt>
                <c:pt idx="1">
                  <c:v>119.14285714285714</c:v>
                </c:pt>
                <c:pt idx="2">
                  <c:v>317.42857142857144</c:v>
                </c:pt>
                <c:pt idx="3">
                  <c:v>281.57142857142856</c:v>
                </c:pt>
                <c:pt idx="4">
                  <c:v>309.85714285714283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'ANOVA Match 2.3'!$I$11</c:f>
              <c:strCache>
                <c:ptCount val="1"/>
                <c:pt idx="0">
                  <c:v>Old</c:v>
                </c:pt>
              </c:strCache>
            </c:strRef>
          </c:tx>
          <c:cat>
            <c:strRef>
              <c:f>'ANOVA Match 2.3'!$J$8:$N$8</c:f>
              <c:strCache>
                <c:ptCount val="5"/>
                <c:pt idx="0">
                  <c:v>Day 1</c:v>
                </c:pt>
                <c:pt idx="1">
                  <c:v>Day 2</c:v>
                </c:pt>
                <c:pt idx="2">
                  <c:v>Day 3</c:v>
                </c:pt>
                <c:pt idx="3">
                  <c:v>Day 4</c:v>
                </c:pt>
                <c:pt idx="4">
                  <c:v>Day 5</c:v>
                </c:pt>
              </c:strCache>
            </c:strRef>
          </c:cat>
          <c:val>
            <c:numRef>
              <c:f>'ANOVA Match 2.3'!$J$11:$N$11</c:f>
              <c:numCache>
                <c:formatCode>General</c:formatCode>
                <c:ptCount val="5"/>
                <c:pt idx="0">
                  <c:v>87.428571428571431</c:v>
                </c:pt>
                <c:pt idx="1">
                  <c:v>238.71428571428572</c:v>
                </c:pt>
                <c:pt idx="2">
                  <c:v>369.57142857142856</c:v>
                </c:pt>
                <c:pt idx="3">
                  <c:v>374.28571428571428</c:v>
                </c:pt>
                <c:pt idx="4">
                  <c:v>358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7780608"/>
        <c:axId val="467781000"/>
      </c:lineChart>
      <c:catAx>
        <c:axId val="4677806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67781000"/>
        <c:crosses val="autoZero"/>
        <c:auto val="1"/>
        <c:lblAlgn val="ctr"/>
        <c:lblOffset val="100"/>
        <c:noMultiLvlLbl val="0"/>
      </c:catAx>
      <c:valAx>
        <c:axId val="4677810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77806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'ANOVA Match 2.3'!$BH$6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'ANOVA Match 2.3'!$BI$5:$BK$5</c:f>
              <c:strCache>
                <c:ptCount val="3"/>
                <c:pt idx="0">
                  <c:v>Young</c:v>
                </c:pt>
                <c:pt idx="1">
                  <c:v>Middle</c:v>
                </c:pt>
                <c:pt idx="2">
                  <c:v>Old</c:v>
                </c:pt>
              </c:strCache>
            </c:strRef>
          </c:cat>
          <c:val>
            <c:numRef>
              <c:f>'ANOVA Match 2.3'!$BI$6:$BK$6</c:f>
              <c:numCache>
                <c:formatCode>General</c:formatCode>
                <c:ptCount val="3"/>
                <c:pt idx="0">
                  <c:v>237</c:v>
                </c:pt>
                <c:pt idx="1">
                  <c:v>155.19999999999999</c:v>
                </c:pt>
                <c:pt idx="2">
                  <c:v>249.8</c:v>
                </c:pt>
              </c:numCache>
            </c:numRef>
          </c:val>
        </c:ser>
        <c:ser>
          <c:idx val="1"/>
          <c:order val="1"/>
          <c:tx>
            <c:strRef>
              <c:f>'ANOVA Match 2.3'!$BH$7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'ANOVA Match 2.3'!$BI$5:$BK$5</c:f>
              <c:strCache>
                <c:ptCount val="3"/>
                <c:pt idx="0">
                  <c:v>Young</c:v>
                </c:pt>
                <c:pt idx="1">
                  <c:v>Middle</c:v>
                </c:pt>
                <c:pt idx="2">
                  <c:v>Old</c:v>
                </c:pt>
              </c:strCache>
            </c:strRef>
          </c:cat>
          <c:val>
            <c:numRef>
              <c:f>'ANOVA Match 2.3'!$BI$7:$BK$7</c:f>
              <c:numCache>
                <c:formatCode>General</c:formatCode>
                <c:ptCount val="3"/>
                <c:pt idx="0">
                  <c:v>37.100000000000023</c:v>
                </c:pt>
                <c:pt idx="1">
                  <c:v>32.199999999999989</c:v>
                </c:pt>
                <c:pt idx="2">
                  <c:v>9.6999999999999886</c:v>
                </c:pt>
              </c:numCache>
            </c:numRef>
          </c:val>
        </c:ser>
        <c:ser>
          <c:idx val="2"/>
          <c:order val="2"/>
          <c:tx>
            <c:strRef>
              <c:f>'ANOVA Match 2.3'!$BH$8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'ANOVA Match 2.3'!$BI$5:$BK$5</c:f>
              <c:strCache>
                <c:ptCount val="3"/>
                <c:pt idx="0">
                  <c:v>Young</c:v>
                </c:pt>
                <c:pt idx="1">
                  <c:v>Middle</c:v>
                </c:pt>
                <c:pt idx="2">
                  <c:v>Old</c:v>
                </c:pt>
              </c:strCache>
            </c:strRef>
          </c:cat>
          <c:val>
            <c:numRef>
              <c:f>'ANOVA Match 2.3'!$BI$8:$BK$8</c:f>
              <c:numCache>
                <c:formatCode>General</c:formatCode>
                <c:ptCount val="3"/>
                <c:pt idx="0">
                  <c:v>57.699999999999989</c:v>
                </c:pt>
                <c:pt idx="1">
                  <c:v>43.400000000000034</c:v>
                </c:pt>
                <c:pt idx="2">
                  <c:v>5.1000000000000227</c:v>
                </c:pt>
              </c:numCache>
            </c:numRef>
          </c:val>
        </c:ser>
        <c:ser>
          <c:idx val="3"/>
          <c:order val="3"/>
          <c:tx>
            <c:strRef>
              <c:f>'ANOVA Match 2.3'!$BH$9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'ANOVA Match 2.3'!$BI$10:$BK$10</c:f>
                <c:numCache>
                  <c:formatCode>General</c:formatCode>
                  <c:ptCount val="3"/>
                  <c:pt idx="0">
                    <c:v>15.099999999999966</c:v>
                  </c:pt>
                  <c:pt idx="1">
                    <c:v>34.900000000000006</c:v>
                  </c:pt>
                  <c:pt idx="2">
                    <c:v>47.199999999999989</c:v>
                  </c:pt>
                </c:numCache>
              </c:numRef>
            </c:plus>
          </c:errBars>
          <c:cat>
            <c:strRef>
              <c:f>'ANOVA Match 2.3'!$BI$5:$BK$5</c:f>
              <c:strCache>
                <c:ptCount val="3"/>
                <c:pt idx="0">
                  <c:v>Young</c:v>
                </c:pt>
                <c:pt idx="1">
                  <c:v>Middle</c:v>
                </c:pt>
                <c:pt idx="2">
                  <c:v>Old</c:v>
                </c:pt>
              </c:strCache>
            </c:strRef>
          </c:cat>
          <c:val>
            <c:numRef>
              <c:f>'ANOVA Match 2.3'!$BI$9:$BK$9</c:f>
              <c:numCache>
                <c:formatCode>General</c:formatCode>
                <c:ptCount val="3"/>
                <c:pt idx="0">
                  <c:v>25.300000000000011</c:v>
                </c:pt>
                <c:pt idx="1">
                  <c:v>9.0999999999999943</c:v>
                </c:pt>
                <c:pt idx="2">
                  <c:v>41.599999999999966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7451472"/>
        <c:axId val="377448336"/>
      </c:barChart>
      <c:catAx>
        <c:axId val="377451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77448336"/>
        <c:crosses val="autoZero"/>
        <c:auto val="1"/>
        <c:lblAlgn val="ctr"/>
        <c:lblOffset val="100"/>
        <c:noMultiLvlLbl val="0"/>
      </c:catAx>
      <c:valAx>
        <c:axId val="377448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77451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'ANOVA Match 2.3'!$BD$24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'ANOVA Match 2.3'!$BE$23:$BS$23</c:f>
              <c:strCache>
                <c:ptCount val="15"/>
                <c:pt idx="0">
                  <c:v>Y 1</c:v>
                </c:pt>
                <c:pt idx="1">
                  <c:v>Y 2</c:v>
                </c:pt>
                <c:pt idx="2">
                  <c:v>Y 3</c:v>
                </c:pt>
                <c:pt idx="3">
                  <c:v>Y 4 </c:v>
                </c:pt>
                <c:pt idx="4">
                  <c:v>Y 5</c:v>
                </c:pt>
                <c:pt idx="5">
                  <c:v>M 1</c:v>
                </c:pt>
                <c:pt idx="6">
                  <c:v>M 2</c:v>
                </c:pt>
                <c:pt idx="7">
                  <c:v>M 3</c:v>
                </c:pt>
                <c:pt idx="8">
                  <c:v>M 4 </c:v>
                </c:pt>
                <c:pt idx="9">
                  <c:v>M 5</c:v>
                </c:pt>
                <c:pt idx="10">
                  <c:v>O 1</c:v>
                </c:pt>
                <c:pt idx="11">
                  <c:v>O 2</c:v>
                </c:pt>
                <c:pt idx="12">
                  <c:v>O 3</c:v>
                </c:pt>
                <c:pt idx="13">
                  <c:v>O 4 </c:v>
                </c:pt>
                <c:pt idx="14">
                  <c:v>O 5</c:v>
                </c:pt>
              </c:strCache>
            </c:strRef>
          </c:cat>
          <c:val>
            <c:numRef>
              <c:f>'ANOVA Match 2.3'!$BE$24:$BS$24</c:f>
              <c:numCache>
                <c:formatCode>General</c:formatCode>
                <c:ptCount val="15"/>
                <c:pt idx="0">
                  <c:v>65</c:v>
                </c:pt>
                <c:pt idx="1">
                  <c:v>167</c:v>
                </c:pt>
                <c:pt idx="2">
                  <c:v>257</c:v>
                </c:pt>
                <c:pt idx="3">
                  <c:v>275</c:v>
                </c:pt>
                <c:pt idx="4">
                  <c:v>298</c:v>
                </c:pt>
                <c:pt idx="5">
                  <c:v>3</c:v>
                </c:pt>
                <c:pt idx="6">
                  <c:v>54</c:v>
                </c:pt>
                <c:pt idx="7">
                  <c:v>193</c:v>
                </c:pt>
                <c:pt idx="8">
                  <c:v>216</c:v>
                </c:pt>
                <c:pt idx="9">
                  <c:v>233</c:v>
                </c:pt>
                <c:pt idx="10">
                  <c:v>38</c:v>
                </c:pt>
                <c:pt idx="11">
                  <c:v>124</c:v>
                </c:pt>
                <c:pt idx="12">
                  <c:v>289</c:v>
                </c:pt>
                <c:pt idx="13">
                  <c:v>307</c:v>
                </c:pt>
                <c:pt idx="14">
                  <c:v>295</c:v>
                </c:pt>
              </c:numCache>
            </c:numRef>
          </c:val>
        </c:ser>
        <c:ser>
          <c:idx val="1"/>
          <c:order val="1"/>
          <c:tx>
            <c:strRef>
              <c:f>'ANOVA Match 2.3'!$BD$25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'ANOVA Match 2.3'!$BE$23:$BS$23</c:f>
              <c:strCache>
                <c:ptCount val="15"/>
                <c:pt idx="0">
                  <c:v>Y 1</c:v>
                </c:pt>
                <c:pt idx="1">
                  <c:v>Y 2</c:v>
                </c:pt>
                <c:pt idx="2">
                  <c:v>Y 3</c:v>
                </c:pt>
                <c:pt idx="3">
                  <c:v>Y 4 </c:v>
                </c:pt>
                <c:pt idx="4">
                  <c:v>Y 5</c:v>
                </c:pt>
                <c:pt idx="5">
                  <c:v>M 1</c:v>
                </c:pt>
                <c:pt idx="6">
                  <c:v>M 2</c:v>
                </c:pt>
                <c:pt idx="7">
                  <c:v>M 3</c:v>
                </c:pt>
                <c:pt idx="8">
                  <c:v>M 4 </c:v>
                </c:pt>
                <c:pt idx="9">
                  <c:v>M 5</c:v>
                </c:pt>
                <c:pt idx="10">
                  <c:v>O 1</c:v>
                </c:pt>
                <c:pt idx="11">
                  <c:v>O 2</c:v>
                </c:pt>
                <c:pt idx="12">
                  <c:v>O 3</c:v>
                </c:pt>
                <c:pt idx="13">
                  <c:v>O 4 </c:v>
                </c:pt>
                <c:pt idx="14">
                  <c:v>O 5</c:v>
                </c:pt>
              </c:strCache>
            </c:strRef>
          </c:cat>
          <c:val>
            <c:numRef>
              <c:f>'ANOVA Match 2.3'!$BE$25:$BS$25</c:f>
              <c:numCache>
                <c:formatCode>General</c:formatCode>
                <c:ptCount val="15"/>
                <c:pt idx="0">
                  <c:v>63.5</c:v>
                </c:pt>
                <c:pt idx="1">
                  <c:v>67</c:v>
                </c:pt>
                <c:pt idx="2">
                  <c:v>105.5</c:v>
                </c:pt>
                <c:pt idx="3">
                  <c:v>54.5</c:v>
                </c:pt>
                <c:pt idx="4">
                  <c:v>39</c:v>
                </c:pt>
                <c:pt idx="5">
                  <c:v>21.5</c:v>
                </c:pt>
                <c:pt idx="6">
                  <c:v>29.5</c:v>
                </c:pt>
                <c:pt idx="7">
                  <c:v>91</c:v>
                </c:pt>
                <c:pt idx="8">
                  <c:v>33.5</c:v>
                </c:pt>
                <c:pt idx="9">
                  <c:v>23.5</c:v>
                </c:pt>
                <c:pt idx="10">
                  <c:v>33</c:v>
                </c:pt>
                <c:pt idx="11">
                  <c:v>85</c:v>
                </c:pt>
                <c:pt idx="12">
                  <c:v>47.5</c:v>
                </c:pt>
                <c:pt idx="13">
                  <c:v>33</c:v>
                </c:pt>
                <c:pt idx="14">
                  <c:v>19.5</c:v>
                </c:pt>
              </c:numCache>
            </c:numRef>
          </c:val>
        </c:ser>
        <c:ser>
          <c:idx val="2"/>
          <c:order val="2"/>
          <c:tx>
            <c:strRef>
              <c:f>'ANOVA Match 2.3'!$BD$26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'ANOVA Match 2.3'!$BE$23:$BS$23</c:f>
              <c:strCache>
                <c:ptCount val="15"/>
                <c:pt idx="0">
                  <c:v>Y 1</c:v>
                </c:pt>
                <c:pt idx="1">
                  <c:v>Y 2</c:v>
                </c:pt>
                <c:pt idx="2">
                  <c:v>Y 3</c:v>
                </c:pt>
                <c:pt idx="3">
                  <c:v>Y 4 </c:v>
                </c:pt>
                <c:pt idx="4">
                  <c:v>Y 5</c:v>
                </c:pt>
                <c:pt idx="5">
                  <c:v>M 1</c:v>
                </c:pt>
                <c:pt idx="6">
                  <c:v>M 2</c:v>
                </c:pt>
                <c:pt idx="7">
                  <c:v>M 3</c:v>
                </c:pt>
                <c:pt idx="8">
                  <c:v>M 4 </c:v>
                </c:pt>
                <c:pt idx="9">
                  <c:v>M 5</c:v>
                </c:pt>
                <c:pt idx="10">
                  <c:v>O 1</c:v>
                </c:pt>
                <c:pt idx="11">
                  <c:v>O 2</c:v>
                </c:pt>
                <c:pt idx="12">
                  <c:v>O 3</c:v>
                </c:pt>
                <c:pt idx="13">
                  <c:v>O 4 </c:v>
                </c:pt>
                <c:pt idx="14">
                  <c:v>O 5</c:v>
                </c:pt>
              </c:strCache>
            </c:strRef>
          </c:cat>
          <c:val>
            <c:numRef>
              <c:f>'ANOVA Match 2.3'!$BE$26:$BS$26</c:f>
              <c:numCache>
                <c:formatCode>General</c:formatCode>
                <c:ptCount val="15"/>
                <c:pt idx="0">
                  <c:v>101.5</c:v>
                </c:pt>
                <c:pt idx="1">
                  <c:v>44</c:v>
                </c:pt>
                <c:pt idx="2">
                  <c:v>38.5</c:v>
                </c:pt>
                <c:pt idx="3">
                  <c:v>52.5</c:v>
                </c:pt>
                <c:pt idx="4">
                  <c:v>30</c:v>
                </c:pt>
                <c:pt idx="5">
                  <c:v>9.5</c:v>
                </c:pt>
                <c:pt idx="6">
                  <c:v>32.5</c:v>
                </c:pt>
                <c:pt idx="7">
                  <c:v>23</c:v>
                </c:pt>
                <c:pt idx="8">
                  <c:v>11.5</c:v>
                </c:pt>
                <c:pt idx="9">
                  <c:v>16.5</c:v>
                </c:pt>
                <c:pt idx="10">
                  <c:v>12</c:v>
                </c:pt>
                <c:pt idx="11">
                  <c:v>38</c:v>
                </c:pt>
                <c:pt idx="12">
                  <c:v>28.5</c:v>
                </c:pt>
                <c:pt idx="13">
                  <c:v>40</c:v>
                </c:pt>
                <c:pt idx="14">
                  <c:v>16.5</c:v>
                </c:pt>
              </c:numCache>
            </c:numRef>
          </c:val>
        </c:ser>
        <c:ser>
          <c:idx val="3"/>
          <c:order val="3"/>
          <c:tx>
            <c:strRef>
              <c:f>'ANOVA Match 2.3'!$BD$27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'ANOVA Match 2.3'!$BE$28:$BS$28</c:f>
                <c:numCache>
                  <c:formatCode>General</c:formatCode>
                  <c:ptCount val="15"/>
                  <c:pt idx="0">
                    <c:v>5.5</c:v>
                  </c:pt>
                  <c:pt idx="1">
                    <c:v>18</c:v>
                  </c:pt>
                  <c:pt idx="2">
                    <c:v>14.5</c:v>
                  </c:pt>
                  <c:pt idx="3">
                    <c:v>20.5</c:v>
                  </c:pt>
                  <c:pt idx="4">
                    <c:v>28.5</c:v>
                  </c:pt>
                  <c:pt idx="5">
                    <c:v>152.5</c:v>
                  </c:pt>
                  <c:pt idx="6">
                    <c:v>9.5</c:v>
                  </c:pt>
                  <c:pt idx="7">
                    <c:v>60.5</c:v>
                  </c:pt>
                  <c:pt idx="8">
                    <c:v>99.5</c:v>
                  </c:pt>
                  <c:pt idx="9">
                    <c:v>130</c:v>
                  </c:pt>
                  <c:pt idx="10">
                    <c:v>10</c:v>
                  </c:pt>
                  <c:pt idx="11">
                    <c:v>55.5</c:v>
                  </c:pt>
                  <c:pt idx="12">
                    <c:v>76.5</c:v>
                  </c:pt>
                  <c:pt idx="13">
                    <c:v>65</c:v>
                  </c:pt>
                  <c:pt idx="14">
                    <c:v>42</c:v>
                  </c:pt>
                </c:numCache>
              </c:numRef>
            </c:plus>
          </c:errBars>
          <c:cat>
            <c:strRef>
              <c:f>'ANOVA Match 2.3'!$BE$23:$BS$23</c:f>
              <c:strCache>
                <c:ptCount val="15"/>
                <c:pt idx="0">
                  <c:v>Y 1</c:v>
                </c:pt>
                <c:pt idx="1">
                  <c:v>Y 2</c:v>
                </c:pt>
                <c:pt idx="2">
                  <c:v>Y 3</c:v>
                </c:pt>
                <c:pt idx="3">
                  <c:v>Y 4 </c:v>
                </c:pt>
                <c:pt idx="4">
                  <c:v>Y 5</c:v>
                </c:pt>
                <c:pt idx="5">
                  <c:v>M 1</c:v>
                </c:pt>
                <c:pt idx="6">
                  <c:v>M 2</c:v>
                </c:pt>
                <c:pt idx="7">
                  <c:v>M 3</c:v>
                </c:pt>
                <c:pt idx="8">
                  <c:v>M 4 </c:v>
                </c:pt>
                <c:pt idx="9">
                  <c:v>M 5</c:v>
                </c:pt>
                <c:pt idx="10">
                  <c:v>O 1</c:v>
                </c:pt>
                <c:pt idx="11">
                  <c:v>O 2</c:v>
                </c:pt>
                <c:pt idx="12">
                  <c:v>O 3</c:v>
                </c:pt>
                <c:pt idx="13">
                  <c:v>O 4 </c:v>
                </c:pt>
                <c:pt idx="14">
                  <c:v>O 5</c:v>
                </c:pt>
              </c:strCache>
            </c:strRef>
          </c:cat>
          <c:val>
            <c:numRef>
              <c:f>'ANOVA Match 2.3'!$BE$27:$BS$27</c:f>
              <c:numCache>
                <c:formatCode>General</c:formatCode>
                <c:ptCount val="15"/>
                <c:pt idx="0">
                  <c:v>15.5</c:v>
                </c:pt>
                <c:pt idx="1">
                  <c:v>18</c:v>
                </c:pt>
                <c:pt idx="2">
                  <c:v>26.5</c:v>
                </c:pt>
                <c:pt idx="3">
                  <c:v>18.5</c:v>
                </c:pt>
                <c:pt idx="4">
                  <c:v>72.5</c:v>
                </c:pt>
                <c:pt idx="5">
                  <c:v>13.5</c:v>
                </c:pt>
                <c:pt idx="6">
                  <c:v>46.5</c:v>
                </c:pt>
                <c:pt idx="7">
                  <c:v>57.5</c:v>
                </c:pt>
                <c:pt idx="8">
                  <c:v>37.5</c:v>
                </c:pt>
                <c:pt idx="9">
                  <c:v>67</c:v>
                </c:pt>
                <c:pt idx="10">
                  <c:v>30</c:v>
                </c:pt>
                <c:pt idx="11">
                  <c:v>28.5</c:v>
                </c:pt>
                <c:pt idx="12">
                  <c:v>29.5</c:v>
                </c:pt>
                <c:pt idx="13">
                  <c:v>16</c:v>
                </c:pt>
                <c:pt idx="14">
                  <c:v>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7782960"/>
        <c:axId val="467775904"/>
      </c:barChart>
      <c:catAx>
        <c:axId val="4677829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67775904"/>
        <c:crosses val="autoZero"/>
        <c:auto val="1"/>
        <c:lblAlgn val="ctr"/>
        <c:lblOffset val="100"/>
        <c:noMultiLvlLbl val="0"/>
      </c:catAx>
      <c:valAx>
        <c:axId val="4677759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7782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'ANCOVA 1'!$M$6</c:f>
              <c:strCache>
                <c:ptCount val="1"/>
                <c:pt idx="0">
                  <c:v>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4F81BD"/>
                  </a:solidFill>
                </a14:hiddenFill>
              </a:ext>
            </a:extLst>
          </c:spPr>
          <c:invertIfNegative val="0"/>
          <c:cat>
            <c:strRef>
              <c:f>'ANCOVA 1'!$N$5:$Q$5</c:f>
              <c:strCache>
                <c:ptCount val="4"/>
                <c:pt idx="0">
                  <c:v>Method 1</c:v>
                </c:pt>
                <c:pt idx="1">
                  <c:v>Method 2</c:v>
                </c:pt>
                <c:pt idx="2">
                  <c:v>Method 3</c:v>
                </c:pt>
                <c:pt idx="3">
                  <c:v>Method 4</c:v>
                </c:pt>
              </c:strCache>
            </c:strRef>
          </c:cat>
          <c:val>
            <c:numRef>
              <c:f>'ANCOVA 1'!$N$6:$Q$6</c:f>
              <c:numCache>
                <c:formatCode>General</c:formatCode>
                <c:ptCount val="4"/>
                <c:pt idx="0">
                  <c:v>8</c:v>
                </c:pt>
                <c:pt idx="1">
                  <c:v>13</c:v>
                </c:pt>
                <c:pt idx="2">
                  <c:v>9</c:v>
                </c:pt>
                <c:pt idx="3">
                  <c:v>7</c:v>
                </c:pt>
              </c:numCache>
            </c:numRef>
          </c:val>
        </c:ser>
        <c:ser>
          <c:idx val="1"/>
          <c:order val="1"/>
          <c:tx>
            <c:strRef>
              <c:f>'ANCOVA 1'!$M$7</c:f>
              <c:strCache>
                <c:ptCount val="1"/>
                <c:pt idx="0">
                  <c:v>Q1-Min</c:v>
                </c:pt>
              </c:strCache>
            </c:strRef>
          </c:tx>
          <c:spPr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C0504D"/>
                  </a:solidFill>
                </a14:hiddenFill>
              </a:ext>
            </a:extLst>
          </c:spPr>
          <c:invertIfNegative val="0"/>
          <c:errBars>
            <c:errBarType val="minus"/>
            <c:errValType val="percentage"/>
            <c:noEndCap val="0"/>
            <c:val val="100"/>
          </c:errBars>
          <c:cat>
            <c:strRef>
              <c:f>'ANCOVA 1'!$N$5:$Q$5</c:f>
              <c:strCache>
                <c:ptCount val="4"/>
                <c:pt idx="0">
                  <c:v>Method 1</c:v>
                </c:pt>
                <c:pt idx="1">
                  <c:v>Method 2</c:v>
                </c:pt>
                <c:pt idx="2">
                  <c:v>Method 3</c:v>
                </c:pt>
                <c:pt idx="3">
                  <c:v>Method 4</c:v>
                </c:pt>
              </c:strCache>
            </c:strRef>
          </c:cat>
          <c:val>
            <c:numRef>
              <c:f>'ANCOVA 1'!$N$7:$Q$7</c:f>
              <c:numCache>
                <c:formatCode>General</c:formatCode>
                <c:ptCount val="4"/>
                <c:pt idx="0">
                  <c:v>6.25</c:v>
                </c:pt>
                <c:pt idx="1">
                  <c:v>16</c:v>
                </c:pt>
                <c:pt idx="2">
                  <c:v>4.5</c:v>
                </c:pt>
                <c:pt idx="3">
                  <c:v>3.5</c:v>
                </c:pt>
              </c:numCache>
            </c:numRef>
          </c:val>
        </c:ser>
        <c:ser>
          <c:idx val="2"/>
          <c:order val="2"/>
          <c:tx>
            <c:strRef>
              <c:f>'ANCOVA 1'!$M$8</c:f>
              <c:strCache>
                <c:ptCount val="1"/>
                <c:pt idx="0">
                  <c:v>Med-Q1</c:v>
                </c:pt>
              </c:strCache>
            </c:strRef>
          </c:tx>
          <c:invertIfNegative val="0"/>
          <c:cat>
            <c:strRef>
              <c:f>'ANCOVA 1'!$N$5:$Q$5</c:f>
              <c:strCache>
                <c:ptCount val="4"/>
                <c:pt idx="0">
                  <c:v>Method 1</c:v>
                </c:pt>
                <c:pt idx="1">
                  <c:v>Method 2</c:v>
                </c:pt>
                <c:pt idx="2">
                  <c:v>Method 3</c:v>
                </c:pt>
                <c:pt idx="3">
                  <c:v>Method 4</c:v>
                </c:pt>
              </c:strCache>
            </c:strRef>
          </c:cat>
          <c:val>
            <c:numRef>
              <c:f>'ANCOVA 1'!$N$8:$Q$8</c:f>
              <c:numCache>
                <c:formatCode>General</c:formatCode>
                <c:ptCount val="4"/>
                <c:pt idx="0">
                  <c:v>6.75</c:v>
                </c:pt>
                <c:pt idx="1">
                  <c:v>7</c:v>
                </c:pt>
                <c:pt idx="2">
                  <c:v>7</c:v>
                </c:pt>
                <c:pt idx="3">
                  <c:v>5.5</c:v>
                </c:pt>
              </c:numCache>
            </c:numRef>
          </c:val>
        </c:ser>
        <c:ser>
          <c:idx val="3"/>
          <c:order val="3"/>
          <c:tx>
            <c:strRef>
              <c:f>'ANCOVA 1'!$M$9</c:f>
              <c:strCache>
                <c:ptCount val="1"/>
                <c:pt idx="0">
                  <c:v>Q3-Med</c:v>
                </c:pt>
              </c:strCache>
            </c:strRef>
          </c:tx>
          <c:invertIfNegative val="0"/>
          <c:errBars>
            <c:errBarType val="plus"/>
            <c:errValType val="cust"/>
            <c:noEndCap val="0"/>
            <c:plus>
              <c:numRef>
                <c:f>'ANCOVA 1'!$N$10:$Q$10</c:f>
                <c:numCache>
                  <c:formatCode>General</c:formatCode>
                  <c:ptCount val="4"/>
                  <c:pt idx="0">
                    <c:v>6.75</c:v>
                  </c:pt>
                  <c:pt idx="1">
                    <c:v>8.75</c:v>
                  </c:pt>
                  <c:pt idx="2">
                    <c:v>12.75</c:v>
                  </c:pt>
                  <c:pt idx="3">
                    <c:v>7</c:v>
                  </c:pt>
                </c:numCache>
              </c:numRef>
            </c:plus>
          </c:errBars>
          <c:cat>
            <c:strRef>
              <c:f>'ANCOVA 1'!$N$5:$Q$5</c:f>
              <c:strCache>
                <c:ptCount val="4"/>
                <c:pt idx="0">
                  <c:v>Method 1</c:v>
                </c:pt>
                <c:pt idx="1">
                  <c:v>Method 2</c:v>
                </c:pt>
                <c:pt idx="2">
                  <c:v>Method 3</c:v>
                </c:pt>
                <c:pt idx="3">
                  <c:v>Method 4</c:v>
                </c:pt>
              </c:strCache>
            </c:strRef>
          </c:cat>
          <c:val>
            <c:numRef>
              <c:f>'ANCOVA 1'!$N$9:$Q$9</c:f>
              <c:numCache>
                <c:formatCode>General</c:formatCode>
                <c:ptCount val="4"/>
                <c:pt idx="0">
                  <c:v>11.25</c:v>
                </c:pt>
                <c:pt idx="1">
                  <c:v>5.25</c:v>
                </c:pt>
                <c:pt idx="2">
                  <c:v>8.75</c:v>
                </c:pt>
                <c:pt idx="3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7777472"/>
        <c:axId val="374081776"/>
      </c:barChart>
      <c:catAx>
        <c:axId val="467777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74081776"/>
        <c:crosses val="autoZero"/>
        <c:auto val="1"/>
        <c:lblAlgn val="ctr"/>
        <c:lblOffset val="100"/>
        <c:noMultiLvlLbl val="0"/>
      </c:catAx>
      <c:valAx>
        <c:axId val="374081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67777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Method 1</c:v>
          </c:tx>
          <c:spPr>
            <a:ln w="28575">
              <a:noFill/>
            </a:ln>
          </c:spPr>
          <c:trendline>
            <c:spPr>
              <a:ln>
                <a:solidFill>
                  <a:schemeClr val="accent1"/>
                </a:solidFill>
              </a:ln>
            </c:spPr>
            <c:trendlineType val="linear"/>
            <c:dispRSqr val="0"/>
            <c:dispEq val="0"/>
          </c:trendline>
          <c:xVal>
            <c:numRef>
              <c:f>'ANCOVA 1'!$T$6:$T$13</c:f>
              <c:numCache>
                <c:formatCode>General</c:formatCode>
                <c:ptCount val="8"/>
                <c:pt idx="0">
                  <c:v>17.5</c:v>
                </c:pt>
                <c:pt idx="1">
                  <c:v>104.60000000000001</c:v>
                </c:pt>
                <c:pt idx="2">
                  <c:v>64.7</c:v>
                </c:pt>
                <c:pt idx="3">
                  <c:v>47</c:v>
                </c:pt>
                <c:pt idx="4">
                  <c:v>22</c:v>
                </c:pt>
                <c:pt idx="5">
                  <c:v>12.4</c:v>
                </c:pt>
                <c:pt idx="6">
                  <c:v>20</c:v>
                </c:pt>
                <c:pt idx="7">
                  <c:v>79.7</c:v>
                </c:pt>
              </c:numCache>
            </c:numRef>
          </c:xVal>
          <c:yVal>
            <c:numRef>
              <c:f>'ANCOVA 1'!$U$6:$U$13</c:f>
              <c:numCache>
                <c:formatCode>General</c:formatCode>
                <c:ptCount val="8"/>
                <c:pt idx="0">
                  <c:v>12</c:v>
                </c:pt>
                <c:pt idx="1">
                  <c:v>39</c:v>
                </c:pt>
                <c:pt idx="2">
                  <c:v>36</c:v>
                </c:pt>
                <c:pt idx="3">
                  <c:v>17</c:v>
                </c:pt>
                <c:pt idx="4">
                  <c:v>25</c:v>
                </c:pt>
                <c:pt idx="5">
                  <c:v>15</c:v>
                </c:pt>
                <c:pt idx="6">
                  <c:v>8</c:v>
                </c:pt>
                <c:pt idx="7">
                  <c:v>31</c:v>
                </c:pt>
              </c:numCache>
            </c:numRef>
          </c:yVal>
          <c:smooth val="0"/>
        </c:ser>
        <c:ser>
          <c:idx val="1"/>
          <c:order val="1"/>
          <c:tx>
            <c:v>Method 2</c:v>
          </c:tx>
          <c:spPr>
            <a:ln w="28575">
              <a:noFill/>
            </a:ln>
          </c:spPr>
          <c:trendline>
            <c:spPr>
              <a:ln>
                <a:solidFill>
                  <a:schemeClr val="accent2"/>
                </a:solidFill>
              </a:ln>
            </c:spPr>
            <c:trendlineType val="linear"/>
            <c:dispRSqr val="0"/>
            <c:dispEq val="0"/>
          </c:trendline>
          <c:xVal>
            <c:numRef>
              <c:f>'ANCOVA 1'!$V$6:$V$13</c:f>
              <c:numCache>
                <c:formatCode>General</c:formatCode>
                <c:ptCount val="8"/>
                <c:pt idx="0">
                  <c:v>70.8</c:v>
                </c:pt>
                <c:pt idx="1">
                  <c:v>45.9</c:v>
                </c:pt>
                <c:pt idx="2">
                  <c:v>47.5</c:v>
                </c:pt>
                <c:pt idx="3">
                  <c:v>77.8</c:v>
                </c:pt>
                <c:pt idx="4">
                  <c:v>70.900000000000006</c:v>
                </c:pt>
                <c:pt idx="5">
                  <c:v>84.8</c:v>
                </c:pt>
                <c:pt idx="6">
                  <c:v>49.8</c:v>
                </c:pt>
                <c:pt idx="7">
                  <c:v>34.599999999999994</c:v>
                </c:pt>
              </c:numCache>
            </c:numRef>
          </c:xVal>
          <c:yVal>
            <c:numRef>
              <c:f>'ANCOVA 1'!$W$6:$W$13</c:f>
              <c:numCache>
                <c:formatCode>General</c:formatCode>
                <c:ptCount val="8"/>
                <c:pt idx="0">
                  <c:v>45</c:v>
                </c:pt>
                <c:pt idx="1">
                  <c:v>37</c:v>
                </c:pt>
                <c:pt idx="2">
                  <c:v>13</c:v>
                </c:pt>
                <c:pt idx="3">
                  <c:v>50</c:v>
                </c:pt>
                <c:pt idx="4">
                  <c:v>35</c:v>
                </c:pt>
                <c:pt idx="5">
                  <c:v>40</c:v>
                </c:pt>
                <c:pt idx="6">
                  <c:v>33</c:v>
                </c:pt>
                <c:pt idx="7">
                  <c:v>17</c:v>
                </c:pt>
              </c:numCache>
            </c:numRef>
          </c:yVal>
          <c:smooth val="0"/>
        </c:ser>
        <c:ser>
          <c:idx val="2"/>
          <c:order val="2"/>
          <c:tx>
            <c:v>Method 3</c:v>
          </c:tx>
          <c:spPr>
            <a:ln w="28575">
              <a:noFill/>
            </a:ln>
          </c:spPr>
          <c:trendline>
            <c:spPr>
              <a:ln>
                <a:solidFill>
                  <a:schemeClr val="accent3"/>
                </a:solidFill>
              </a:ln>
            </c:spPr>
            <c:trendlineType val="linear"/>
            <c:dispRSqr val="0"/>
            <c:dispEq val="0"/>
          </c:trendline>
          <c:xVal>
            <c:numRef>
              <c:f>'ANCOVA 1'!$X$6:$X$15</c:f>
              <c:numCache>
                <c:formatCode>General</c:formatCode>
                <c:ptCount val="10"/>
                <c:pt idx="0">
                  <c:v>71.400000000000006</c:v>
                </c:pt>
                <c:pt idx="1">
                  <c:v>55</c:v>
                </c:pt>
                <c:pt idx="2">
                  <c:v>54</c:v>
                </c:pt>
                <c:pt idx="3">
                  <c:v>27.9</c:v>
                </c:pt>
                <c:pt idx="4">
                  <c:v>40.599999999999994</c:v>
                </c:pt>
                <c:pt idx="5">
                  <c:v>33</c:v>
                </c:pt>
                <c:pt idx="6">
                  <c:v>22.2</c:v>
                </c:pt>
                <c:pt idx="7">
                  <c:v>80.5</c:v>
                </c:pt>
                <c:pt idx="8">
                  <c:v>80</c:v>
                </c:pt>
                <c:pt idx="9">
                  <c:v>41</c:v>
                </c:pt>
              </c:numCache>
            </c:numRef>
          </c:xVal>
          <c:yVal>
            <c:numRef>
              <c:f>'ANCOVA 1'!$Y$6:$Y$15</c:f>
              <c:numCache>
                <c:formatCode>General</c:formatCode>
                <c:ptCount val="10"/>
                <c:pt idx="0">
                  <c:v>20</c:v>
                </c:pt>
                <c:pt idx="1">
                  <c:v>42</c:v>
                </c:pt>
                <c:pt idx="2">
                  <c:v>31</c:v>
                </c:pt>
                <c:pt idx="3">
                  <c:v>24</c:v>
                </c:pt>
                <c:pt idx="4">
                  <c:v>15</c:v>
                </c:pt>
                <c:pt idx="5">
                  <c:v>13</c:v>
                </c:pt>
                <c:pt idx="6">
                  <c:v>9</c:v>
                </c:pt>
                <c:pt idx="7">
                  <c:v>21</c:v>
                </c:pt>
                <c:pt idx="8">
                  <c:v>31</c:v>
                </c:pt>
                <c:pt idx="9">
                  <c:v>13</c:v>
                </c:pt>
              </c:numCache>
            </c:numRef>
          </c:yVal>
          <c:smooth val="0"/>
        </c:ser>
        <c:ser>
          <c:idx val="3"/>
          <c:order val="3"/>
          <c:tx>
            <c:v>Method 4</c:v>
          </c:tx>
          <c:spPr>
            <a:ln w="28575">
              <a:noFill/>
            </a:ln>
          </c:spPr>
          <c:marker>
            <c:symbol val="circle"/>
            <c:size val="7"/>
          </c:marker>
          <c:trendline>
            <c:spPr>
              <a:ln>
                <a:solidFill>
                  <a:schemeClr val="accent4"/>
                </a:solidFill>
              </a:ln>
            </c:spPr>
            <c:trendlineType val="linear"/>
            <c:dispRSqr val="0"/>
            <c:dispEq val="0"/>
          </c:trendline>
          <c:xVal>
            <c:numRef>
              <c:f>'ANCOVA 1'!$Z$6:$Z$15</c:f>
              <c:numCache>
                <c:formatCode>General</c:formatCode>
                <c:ptCount val="10"/>
                <c:pt idx="0">
                  <c:v>35</c:v>
                </c:pt>
                <c:pt idx="1">
                  <c:v>33</c:v>
                </c:pt>
                <c:pt idx="2">
                  <c:v>34.200000000000003</c:v>
                </c:pt>
                <c:pt idx="3">
                  <c:v>43.2</c:v>
                </c:pt>
                <c:pt idx="4">
                  <c:v>20</c:v>
                </c:pt>
                <c:pt idx="5">
                  <c:v>37</c:v>
                </c:pt>
                <c:pt idx="6">
                  <c:v>28.2</c:v>
                </c:pt>
                <c:pt idx="7">
                  <c:v>46.400000000000006</c:v>
                </c:pt>
                <c:pt idx="8">
                  <c:v>64.900000000000006</c:v>
                </c:pt>
                <c:pt idx="9">
                  <c:v>59.4</c:v>
                </c:pt>
              </c:numCache>
            </c:numRef>
          </c:xVal>
          <c:yVal>
            <c:numRef>
              <c:f>'ANCOVA 1'!$AA$6:$AA$15</c:f>
              <c:numCache>
                <c:formatCode>General</c:formatCode>
                <c:ptCount val="10"/>
                <c:pt idx="0">
                  <c:v>12</c:v>
                </c:pt>
                <c:pt idx="1">
                  <c:v>10</c:v>
                </c:pt>
                <c:pt idx="2">
                  <c:v>19</c:v>
                </c:pt>
                <c:pt idx="3">
                  <c:v>18</c:v>
                </c:pt>
                <c:pt idx="4">
                  <c:v>14</c:v>
                </c:pt>
                <c:pt idx="5">
                  <c:v>8</c:v>
                </c:pt>
                <c:pt idx="6">
                  <c:v>7</c:v>
                </c:pt>
                <c:pt idx="7">
                  <c:v>19</c:v>
                </c:pt>
                <c:pt idx="8">
                  <c:v>25</c:v>
                </c:pt>
                <c:pt idx="9">
                  <c:v>26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2028728"/>
        <c:axId val="472029120"/>
      </c:scatterChart>
      <c:valAx>
        <c:axId val="472028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72029120"/>
        <c:crosses val="autoZero"/>
        <c:crossBetween val="midCat"/>
      </c:valAx>
      <c:valAx>
        <c:axId val="472029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7202872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581025</xdr:colOff>
      <xdr:row>18</xdr:row>
      <xdr:rowOff>85725</xdr:rowOff>
    </xdr:from>
    <xdr:to>
      <xdr:col>16</xdr:col>
      <xdr:colOff>276225</xdr:colOff>
      <xdr:row>32</xdr:row>
      <xdr:rowOff>104775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26</xdr:row>
      <xdr:rowOff>104774</xdr:rowOff>
    </xdr:from>
    <xdr:to>
      <xdr:col>10</xdr:col>
      <xdr:colOff>519112</xdr:colOff>
      <xdr:row>37</xdr:row>
      <xdr:rowOff>160971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561975</xdr:colOff>
      <xdr:row>26</xdr:row>
      <xdr:rowOff>114300</xdr:rowOff>
    </xdr:from>
    <xdr:to>
      <xdr:col>16</xdr:col>
      <xdr:colOff>438151</xdr:colOff>
      <xdr:row>38</xdr:row>
      <xdr:rowOff>4762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104775</xdr:colOff>
      <xdr:row>12</xdr:row>
      <xdr:rowOff>76200</xdr:rowOff>
    </xdr:from>
    <xdr:to>
      <xdr:col>14</xdr:col>
      <xdr:colOff>514350</xdr:colOff>
      <xdr:row>24</xdr:row>
      <xdr:rowOff>147636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514350</xdr:colOff>
      <xdr:row>1</xdr:row>
      <xdr:rowOff>33337</xdr:rowOff>
    </xdr:from>
    <xdr:to>
      <xdr:col>69</xdr:col>
      <xdr:colOff>209550</xdr:colOff>
      <xdr:row>11</xdr:row>
      <xdr:rowOff>111442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55</xdr:col>
      <xdr:colOff>19050</xdr:colOff>
      <xdr:row>28</xdr:row>
      <xdr:rowOff>185737</xdr:rowOff>
    </xdr:from>
    <xdr:to>
      <xdr:col>62</xdr:col>
      <xdr:colOff>323850</xdr:colOff>
      <xdr:row>43</xdr:row>
      <xdr:rowOff>23812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28574</xdr:colOff>
      <xdr:row>10</xdr:row>
      <xdr:rowOff>128587</xdr:rowOff>
    </xdr:from>
    <xdr:to>
      <xdr:col>18</xdr:col>
      <xdr:colOff>266699</xdr:colOff>
      <xdr:row>22</xdr:row>
      <xdr:rowOff>180022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47625</xdr:colOff>
      <xdr:row>15</xdr:row>
      <xdr:rowOff>166687</xdr:rowOff>
    </xdr:from>
    <xdr:to>
      <xdr:col>26</xdr:col>
      <xdr:colOff>352425</xdr:colOff>
      <xdr:row>30</xdr:row>
      <xdr:rowOff>52387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1"/>
  <dimension ref="A1:B13"/>
  <sheetViews>
    <sheetView tabSelected="1" zoomScaleNormal="100" workbookViewId="0"/>
  </sheetViews>
  <sheetFormatPr defaultRowHeight="15" x14ac:dyDescent="0.25"/>
  <cols>
    <col min="1" max="1" width="49.42578125" customWidth="1"/>
  </cols>
  <sheetData>
    <row r="1" spans="1:2" x14ac:dyDescent="0.25">
      <c r="A1" s="1" t="s">
        <v>855</v>
      </c>
      <c r="B1" s="1"/>
    </row>
    <row r="2" spans="1:2" x14ac:dyDescent="0.25">
      <c r="A2" s="1" t="s">
        <v>862</v>
      </c>
      <c r="B2" s="1"/>
    </row>
    <row r="3" spans="1:2" x14ac:dyDescent="0.25">
      <c r="A3" s="1"/>
      <c r="B3" s="1"/>
    </row>
    <row r="4" spans="1:2" x14ac:dyDescent="0.25">
      <c r="A4" s="172" t="s">
        <v>860</v>
      </c>
    </row>
    <row r="6" spans="1:2" x14ac:dyDescent="0.25">
      <c r="A6" s="1" t="s">
        <v>433</v>
      </c>
    </row>
    <row r="8" spans="1:2" x14ac:dyDescent="0.25">
      <c r="A8" s="2" t="s">
        <v>619</v>
      </c>
    </row>
    <row r="9" spans="1:2" x14ac:dyDescent="0.25">
      <c r="A9" s="2" t="s">
        <v>649</v>
      </c>
    </row>
    <row r="10" spans="1:2" x14ac:dyDescent="0.25">
      <c r="A10" s="2" t="s">
        <v>434</v>
      </c>
    </row>
    <row r="11" spans="1:2" x14ac:dyDescent="0.25">
      <c r="A11" s="2" t="s">
        <v>435</v>
      </c>
    </row>
    <row r="12" spans="1:2" x14ac:dyDescent="0.25">
      <c r="A12" s="2" t="s">
        <v>786</v>
      </c>
    </row>
    <row r="13" spans="1:2" x14ac:dyDescent="0.25">
      <c r="A13" s="2" t="s">
        <v>436</v>
      </c>
    </row>
  </sheetData>
  <hyperlinks>
    <hyperlink ref="A10" location="TOC!A59" display="ANOVA with Repeated Measures"/>
    <hyperlink ref="A12" location="TOC!A158" display="ICC Reliability"/>
    <hyperlink ref="A11" location="TOC!A121" display="Analysis of Covariance (ANCOVA)"/>
    <hyperlink ref="A8" location="TOC!A8" display="ANOVA with Random or Nested Factors"/>
    <hyperlink ref="A9" location="TOC!A22" display="Design of Experiments"/>
    <hyperlink ref="A13" location="TOC!A167" display="Tables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P34"/>
  <sheetViews>
    <sheetView workbookViewId="0"/>
  </sheetViews>
  <sheetFormatPr defaultRowHeight="15" x14ac:dyDescent="0.25"/>
  <sheetData>
    <row r="1" spans="1:16" x14ac:dyDescent="0.25">
      <c r="A1" s="1" t="s">
        <v>657</v>
      </c>
    </row>
    <row r="3" spans="1:16" x14ac:dyDescent="0.25">
      <c r="A3" t="s">
        <v>652</v>
      </c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</row>
    <row r="4" spans="1:16" x14ac:dyDescent="0.25">
      <c r="A4" t="s">
        <v>653</v>
      </c>
      <c r="B4" s="267">
        <v>9.7000000000000011</v>
      </c>
      <c r="C4" s="266">
        <v>19.2</v>
      </c>
      <c r="D4" s="266">
        <v>8.3000000000000007</v>
      </c>
      <c r="E4" s="266">
        <v>6.3</v>
      </c>
      <c r="F4" s="266">
        <v>6.7</v>
      </c>
      <c r="G4" s="268">
        <v>5.8</v>
      </c>
    </row>
    <row r="5" spans="1:16" x14ac:dyDescent="0.25">
      <c r="A5" t="s">
        <v>654</v>
      </c>
      <c r="B5" s="107">
        <v>13</v>
      </c>
      <c r="C5" s="7">
        <v>20.2</v>
      </c>
      <c r="D5" s="7">
        <v>6.4</v>
      </c>
      <c r="E5" s="7">
        <v>6</v>
      </c>
      <c r="F5" s="7">
        <v>5.1999999999999993</v>
      </c>
      <c r="G5" s="108">
        <v>3.6</v>
      </c>
    </row>
    <row r="6" spans="1:16" x14ac:dyDescent="0.25">
      <c r="A6" t="s">
        <v>655</v>
      </c>
      <c r="B6" s="107">
        <v>15.6</v>
      </c>
      <c r="C6" s="7">
        <v>17.7</v>
      </c>
      <c r="D6" s="7">
        <v>6.1</v>
      </c>
      <c r="E6" s="7">
        <v>3.9999999999999996</v>
      </c>
      <c r="F6" s="7">
        <v>3.1</v>
      </c>
      <c r="G6" s="108">
        <v>4.0999999999999996</v>
      </c>
    </row>
    <row r="7" spans="1:16" x14ac:dyDescent="0.25">
      <c r="A7" t="s">
        <v>656</v>
      </c>
      <c r="B7" s="52">
        <v>7.1</v>
      </c>
      <c r="C7" s="185">
        <v>11.8</v>
      </c>
      <c r="D7" s="185">
        <v>1.7</v>
      </c>
      <c r="E7" s="185">
        <v>0.5</v>
      </c>
      <c r="F7" s="185">
        <v>0.8</v>
      </c>
      <c r="G7" s="56">
        <v>0.2</v>
      </c>
    </row>
    <row r="10" spans="1:16" x14ac:dyDescent="0.25">
      <c r="A10" t="s">
        <v>12</v>
      </c>
      <c r="J10" t="s">
        <v>505</v>
      </c>
    </row>
    <row r="12" spans="1:16" ht="15.75" thickBot="1" x14ac:dyDescent="0.3">
      <c r="A12" t="s">
        <v>502</v>
      </c>
      <c r="B12" t="str">
        <f>IF(COUNTIF(B14:G17,B14)=COUNT(B14:G17),"balanced","unbalanced")</f>
        <v>balanced</v>
      </c>
      <c r="J12" t="s">
        <v>84</v>
      </c>
      <c r="N12" s="287" t="s">
        <v>17</v>
      </c>
      <c r="O12" s="287">
        <v>0.05</v>
      </c>
    </row>
    <row r="13" spans="1:16" ht="15.75" thickTop="1" x14ac:dyDescent="0.25">
      <c r="B13" s="287">
        <f t="shared" ref="B13:G13" si="0">B3</f>
        <v>5</v>
      </c>
      <c r="C13" s="287">
        <f t="shared" si="0"/>
        <v>10</v>
      </c>
      <c r="D13" s="287">
        <f t="shared" si="0"/>
        <v>15</v>
      </c>
      <c r="E13" s="287">
        <f t="shared" si="0"/>
        <v>20</v>
      </c>
      <c r="F13" s="287">
        <f t="shared" si="0"/>
        <v>25</v>
      </c>
      <c r="G13" s="287">
        <f t="shared" si="0"/>
        <v>30</v>
      </c>
      <c r="J13" s="191"/>
      <c r="K13" s="191" t="s">
        <v>76</v>
      </c>
      <c r="L13" s="191" t="s">
        <v>37</v>
      </c>
      <c r="M13" s="191" t="s">
        <v>78</v>
      </c>
      <c r="N13" s="191" t="s">
        <v>68</v>
      </c>
      <c r="O13" s="191" t="s">
        <v>43</v>
      </c>
      <c r="P13" s="191" t="s">
        <v>111</v>
      </c>
    </row>
    <row r="14" spans="1:16" x14ac:dyDescent="0.25">
      <c r="A14" t="str">
        <f>A4</f>
        <v>Field 1</v>
      </c>
      <c r="B14" s="263">
        <f t="shared" ref="B14:G17" si="1">COUNT(B4)</f>
        <v>1</v>
      </c>
      <c r="C14" s="269">
        <f t="shared" si="1"/>
        <v>1</v>
      </c>
      <c r="D14" s="269">
        <f t="shared" si="1"/>
        <v>1</v>
      </c>
      <c r="E14" s="269">
        <f t="shared" si="1"/>
        <v>1</v>
      </c>
      <c r="F14" s="269">
        <f t="shared" si="1"/>
        <v>1</v>
      </c>
      <c r="G14" s="270">
        <f t="shared" si="1"/>
        <v>1</v>
      </c>
      <c r="H14">
        <f>COUNT(B4:G4)</f>
        <v>6</v>
      </c>
      <c r="J14" t="s">
        <v>69</v>
      </c>
      <c r="K14">
        <f>DEVSQ(H22:H25)*H14</f>
        <v>127.12125000000003</v>
      </c>
      <c r="L14">
        <f>COUNT(H22:H25)-1</f>
        <v>3</v>
      </c>
      <c r="M14">
        <f>K14/L14</f>
        <v>42.373750000000008</v>
      </c>
      <c r="N14">
        <f>M14/M16</f>
        <v>16.761215677225938</v>
      </c>
      <c r="O14">
        <f>FDIST(N14,L14,L16)</f>
        <v>4.6901407613543264E-5</v>
      </c>
      <c r="P14" s="287" t="str">
        <f>IF(O14&lt;O12,"yes","no")</f>
        <v>yes</v>
      </c>
    </row>
    <row r="15" spans="1:16" x14ac:dyDescent="0.25">
      <c r="A15" t="str">
        <f>A5</f>
        <v>Field 2</v>
      </c>
      <c r="B15" s="76">
        <f t="shared" si="1"/>
        <v>1</v>
      </c>
      <c r="C15" s="7">
        <f t="shared" si="1"/>
        <v>1</v>
      </c>
      <c r="D15" s="7">
        <f t="shared" si="1"/>
        <v>1</v>
      </c>
      <c r="E15" s="7">
        <f t="shared" si="1"/>
        <v>1</v>
      </c>
      <c r="F15" s="7">
        <f t="shared" si="1"/>
        <v>1</v>
      </c>
      <c r="G15" s="35">
        <f t="shared" si="1"/>
        <v>1</v>
      </c>
      <c r="H15">
        <f>COUNT(B5:G5)</f>
        <v>6</v>
      </c>
      <c r="J15" t="s">
        <v>123</v>
      </c>
      <c r="K15">
        <f>DEVSQ(B26:G26)*B18</f>
        <v>611.64708333333328</v>
      </c>
      <c r="L15">
        <f>COUNT(B26:G26)-1</f>
        <v>5</v>
      </c>
      <c r="M15">
        <f>K15/L15</f>
        <v>122.32941666666666</v>
      </c>
      <c r="N15">
        <f>M15/M16</f>
        <v>48.388205821274653</v>
      </c>
      <c r="O15">
        <f>FDIST(N15,L15,L16)</f>
        <v>1.0032783080736044E-8</v>
      </c>
      <c r="P15" s="287" t="str">
        <f>IF(O15&lt;O12,"yes","no")</f>
        <v>yes</v>
      </c>
    </row>
    <row r="16" spans="1:16" x14ac:dyDescent="0.25">
      <c r="A16" t="str">
        <f>A6</f>
        <v>Field 3</v>
      </c>
      <c r="B16" s="76">
        <f t="shared" si="1"/>
        <v>1</v>
      </c>
      <c r="C16" s="7">
        <f t="shared" si="1"/>
        <v>1</v>
      </c>
      <c r="D16" s="7">
        <f t="shared" si="1"/>
        <v>1</v>
      </c>
      <c r="E16" s="7">
        <f t="shared" si="1"/>
        <v>1</v>
      </c>
      <c r="F16" s="7">
        <f t="shared" si="1"/>
        <v>1</v>
      </c>
      <c r="G16" s="35">
        <f t="shared" si="1"/>
        <v>1</v>
      </c>
      <c r="H16">
        <f>COUNT(B6:G6)</f>
        <v>6</v>
      </c>
      <c r="J16" t="s">
        <v>122</v>
      </c>
      <c r="K16">
        <f>K18-K14-K15</f>
        <v>37.921249999999759</v>
      </c>
      <c r="L16">
        <f>L15*L14</f>
        <v>15</v>
      </c>
      <c r="M16">
        <f>K16/L16</f>
        <v>2.5280833333333175</v>
      </c>
    </row>
    <row r="17" spans="1:16" x14ac:dyDescent="0.25">
      <c r="A17" t="str">
        <f>A7</f>
        <v>Field 4</v>
      </c>
      <c r="B17" s="182">
        <f t="shared" si="1"/>
        <v>1</v>
      </c>
      <c r="C17" s="183">
        <f t="shared" si="1"/>
        <v>1</v>
      </c>
      <c r="D17" s="183">
        <f t="shared" si="1"/>
        <v>1</v>
      </c>
      <c r="E17" s="183">
        <f t="shared" si="1"/>
        <v>1</v>
      </c>
      <c r="F17" s="183">
        <f t="shared" si="1"/>
        <v>1</v>
      </c>
      <c r="G17" s="184">
        <f t="shared" si="1"/>
        <v>1</v>
      </c>
      <c r="H17">
        <f>COUNT(B7:G7)</f>
        <v>6</v>
      </c>
    </row>
    <row r="18" spans="1:16" x14ac:dyDescent="0.25">
      <c r="B18">
        <f t="shared" ref="B18:G18" si="2">COUNT(B4:B7)</f>
        <v>4</v>
      </c>
      <c r="C18">
        <f t="shared" si="2"/>
        <v>4</v>
      </c>
      <c r="D18">
        <f t="shared" si="2"/>
        <v>4</v>
      </c>
      <c r="E18">
        <f t="shared" si="2"/>
        <v>4</v>
      </c>
      <c r="F18">
        <f t="shared" si="2"/>
        <v>4</v>
      </c>
      <c r="G18">
        <f t="shared" si="2"/>
        <v>4</v>
      </c>
      <c r="H18">
        <f>COUNT(B4:G7)</f>
        <v>24</v>
      </c>
      <c r="J18" s="185" t="s">
        <v>1</v>
      </c>
      <c r="K18" s="185">
        <f>M18*L18</f>
        <v>776.68958333333308</v>
      </c>
      <c r="L18" s="185">
        <f>H18-1</f>
        <v>23</v>
      </c>
      <c r="M18" s="185">
        <f>H34</f>
        <v>33.76911231884057</v>
      </c>
      <c r="N18" s="185"/>
      <c r="O18" s="185"/>
      <c r="P18" s="185"/>
    </row>
    <row r="20" spans="1:16" x14ac:dyDescent="0.25">
      <c r="A20" t="s">
        <v>125</v>
      </c>
    </row>
    <row r="21" spans="1:16" x14ac:dyDescent="0.25">
      <c r="B21" s="287">
        <f t="shared" ref="B21:G21" si="3">B3</f>
        <v>5</v>
      </c>
      <c r="C21" s="287">
        <f t="shared" si="3"/>
        <v>10</v>
      </c>
      <c r="D21" s="287">
        <f t="shared" si="3"/>
        <v>15</v>
      </c>
      <c r="E21" s="287">
        <f t="shared" si="3"/>
        <v>20</v>
      </c>
      <c r="F21" s="287">
        <f t="shared" si="3"/>
        <v>25</v>
      </c>
      <c r="G21" s="287">
        <f t="shared" si="3"/>
        <v>30</v>
      </c>
    </row>
    <row r="22" spans="1:16" x14ac:dyDescent="0.25">
      <c r="A22" t="str">
        <f>A4</f>
        <v>Field 1</v>
      </c>
      <c r="B22" s="263">
        <f t="shared" ref="B22:G25" si="4">AVERAGE(B4)</f>
        <v>9.7000000000000011</v>
      </c>
      <c r="C22" s="269">
        <f t="shared" si="4"/>
        <v>19.2</v>
      </c>
      <c r="D22" s="269">
        <f t="shared" si="4"/>
        <v>8.3000000000000007</v>
      </c>
      <c r="E22" s="269">
        <f t="shared" si="4"/>
        <v>6.3</v>
      </c>
      <c r="F22" s="269">
        <f t="shared" si="4"/>
        <v>6.7</v>
      </c>
      <c r="G22" s="270">
        <f t="shared" si="4"/>
        <v>5.8</v>
      </c>
      <c r="H22">
        <f>AVERAGE(B4:G4)</f>
        <v>9.3333333333333339</v>
      </c>
    </row>
    <row r="23" spans="1:16" x14ac:dyDescent="0.25">
      <c r="A23" t="str">
        <f>A5</f>
        <v>Field 2</v>
      </c>
      <c r="B23" s="76">
        <f t="shared" si="4"/>
        <v>13</v>
      </c>
      <c r="C23" s="7">
        <f t="shared" si="4"/>
        <v>20.2</v>
      </c>
      <c r="D23" s="7">
        <f t="shared" si="4"/>
        <v>6.4</v>
      </c>
      <c r="E23" s="7">
        <f t="shared" si="4"/>
        <v>6</v>
      </c>
      <c r="F23" s="7">
        <f t="shared" si="4"/>
        <v>5.1999999999999993</v>
      </c>
      <c r="G23" s="35">
        <f t="shared" si="4"/>
        <v>3.6</v>
      </c>
      <c r="H23">
        <f>AVERAGE(B5:G5)</f>
        <v>9.0666666666666664</v>
      </c>
    </row>
    <row r="24" spans="1:16" x14ac:dyDescent="0.25">
      <c r="A24" t="str">
        <f>A6</f>
        <v>Field 3</v>
      </c>
      <c r="B24" s="76">
        <f t="shared" si="4"/>
        <v>15.6</v>
      </c>
      <c r="C24" s="7">
        <f t="shared" si="4"/>
        <v>17.7</v>
      </c>
      <c r="D24" s="7">
        <f t="shared" si="4"/>
        <v>6.1</v>
      </c>
      <c r="E24" s="7">
        <f t="shared" si="4"/>
        <v>3.9999999999999996</v>
      </c>
      <c r="F24" s="7">
        <f t="shared" si="4"/>
        <v>3.1</v>
      </c>
      <c r="G24" s="35">
        <f t="shared" si="4"/>
        <v>4.0999999999999996</v>
      </c>
      <c r="H24">
        <f>AVERAGE(B6:G6)</f>
        <v>8.4333333333333336</v>
      </c>
    </row>
    <row r="25" spans="1:16" x14ac:dyDescent="0.25">
      <c r="A25" t="str">
        <f>A7</f>
        <v>Field 4</v>
      </c>
      <c r="B25" s="182">
        <f t="shared" si="4"/>
        <v>7.1</v>
      </c>
      <c r="C25" s="183">
        <f t="shared" si="4"/>
        <v>11.8</v>
      </c>
      <c r="D25" s="183">
        <f t="shared" si="4"/>
        <v>1.7</v>
      </c>
      <c r="E25" s="183">
        <f t="shared" si="4"/>
        <v>0.5</v>
      </c>
      <c r="F25" s="183">
        <f t="shared" si="4"/>
        <v>0.8</v>
      </c>
      <c r="G25" s="184">
        <f t="shared" si="4"/>
        <v>0.2</v>
      </c>
      <c r="H25">
        <f>AVERAGE(B7:G7)</f>
        <v>3.6833333333333331</v>
      </c>
    </row>
    <row r="26" spans="1:16" x14ac:dyDescent="0.25">
      <c r="B26">
        <f t="shared" ref="B26:G26" si="5">AVERAGE(B4:B7)</f>
        <v>11.350000000000001</v>
      </c>
      <c r="C26">
        <f t="shared" si="5"/>
        <v>17.224999999999998</v>
      </c>
      <c r="D26">
        <f t="shared" si="5"/>
        <v>5.625</v>
      </c>
      <c r="E26">
        <f t="shared" si="5"/>
        <v>4.2</v>
      </c>
      <c r="F26">
        <f t="shared" si="5"/>
        <v>3.9499999999999997</v>
      </c>
      <c r="G26">
        <f t="shared" si="5"/>
        <v>3.4249999999999998</v>
      </c>
      <c r="H26">
        <f>AVERAGE(B4:G7)</f>
        <v>7.6291666666666655</v>
      </c>
    </row>
    <row r="28" spans="1:16" x14ac:dyDescent="0.25">
      <c r="A28" t="s">
        <v>503</v>
      </c>
    </row>
    <row r="29" spans="1:16" x14ac:dyDescent="0.25">
      <c r="B29" s="287">
        <f t="shared" ref="B29:G29" si="6">B3</f>
        <v>5</v>
      </c>
      <c r="C29" s="287">
        <f t="shared" si="6"/>
        <v>10</v>
      </c>
      <c r="D29" s="287">
        <f t="shared" si="6"/>
        <v>15</v>
      </c>
      <c r="E29" s="287">
        <f t="shared" si="6"/>
        <v>20</v>
      </c>
      <c r="F29" s="287">
        <f t="shared" si="6"/>
        <v>25</v>
      </c>
      <c r="G29" s="287">
        <f t="shared" si="6"/>
        <v>30</v>
      </c>
    </row>
    <row r="30" spans="1:16" x14ac:dyDescent="0.25">
      <c r="A30" t="str">
        <f>A4</f>
        <v>Field 1</v>
      </c>
      <c r="B30" s="263" t="e">
        <f t="shared" ref="B30:G33" si="7">VAR(B4)</f>
        <v>#DIV/0!</v>
      </c>
      <c r="C30" s="269" t="e">
        <f t="shared" si="7"/>
        <v>#DIV/0!</v>
      </c>
      <c r="D30" s="269" t="e">
        <f t="shared" si="7"/>
        <v>#DIV/0!</v>
      </c>
      <c r="E30" s="269" t="e">
        <f t="shared" si="7"/>
        <v>#DIV/0!</v>
      </c>
      <c r="F30" s="269" t="e">
        <f t="shared" si="7"/>
        <v>#DIV/0!</v>
      </c>
      <c r="G30" s="270" t="e">
        <f t="shared" si="7"/>
        <v>#DIV/0!</v>
      </c>
      <c r="H30">
        <f>VAR(B4:G4)</f>
        <v>25.434666666666658</v>
      </c>
    </row>
    <row r="31" spans="1:16" x14ac:dyDescent="0.25">
      <c r="A31" t="str">
        <f>A5</f>
        <v>Field 2</v>
      </c>
      <c r="B31" s="76" t="e">
        <f t="shared" si="7"/>
        <v>#DIV/0!</v>
      </c>
      <c r="C31" s="7" t="e">
        <f t="shared" si="7"/>
        <v>#DIV/0!</v>
      </c>
      <c r="D31" s="7" t="e">
        <f t="shared" si="7"/>
        <v>#DIV/0!</v>
      </c>
      <c r="E31" s="7" t="e">
        <f t="shared" si="7"/>
        <v>#DIV/0!</v>
      </c>
      <c r="F31" s="7" t="e">
        <f t="shared" si="7"/>
        <v>#DIV/0!</v>
      </c>
      <c r="G31" s="35" t="e">
        <f t="shared" si="7"/>
        <v>#DIV/0!</v>
      </c>
      <c r="H31">
        <f>VAR(B5:G5)</f>
        <v>40.154666666666671</v>
      </c>
    </row>
    <row r="32" spans="1:16" x14ac:dyDescent="0.25">
      <c r="A32" t="str">
        <f>A6</f>
        <v>Field 3</v>
      </c>
      <c r="B32" s="76" t="e">
        <f t="shared" si="7"/>
        <v>#DIV/0!</v>
      </c>
      <c r="C32" s="7" t="e">
        <f t="shared" si="7"/>
        <v>#DIV/0!</v>
      </c>
      <c r="D32" s="7" t="e">
        <f t="shared" si="7"/>
        <v>#DIV/0!</v>
      </c>
      <c r="E32" s="7" t="e">
        <f t="shared" si="7"/>
        <v>#DIV/0!</v>
      </c>
      <c r="F32" s="7" t="e">
        <f t="shared" si="7"/>
        <v>#DIV/0!</v>
      </c>
      <c r="G32" s="35" t="e">
        <f t="shared" si="7"/>
        <v>#DIV/0!</v>
      </c>
      <c r="H32">
        <f>VAR(B6:G6)</f>
        <v>41.910666666666657</v>
      </c>
    </row>
    <row r="33" spans="1:8" x14ac:dyDescent="0.25">
      <c r="A33" t="str">
        <f>A7</f>
        <v>Field 4</v>
      </c>
      <c r="B33" s="182" t="e">
        <f t="shared" si="7"/>
        <v>#DIV/0!</v>
      </c>
      <c r="C33" s="183" t="e">
        <f t="shared" si="7"/>
        <v>#DIV/0!</v>
      </c>
      <c r="D33" s="183" t="e">
        <f t="shared" si="7"/>
        <v>#DIV/0!</v>
      </c>
      <c r="E33" s="183" t="e">
        <f t="shared" si="7"/>
        <v>#DIV/0!</v>
      </c>
      <c r="F33" s="183" t="e">
        <f t="shared" si="7"/>
        <v>#DIV/0!</v>
      </c>
      <c r="G33" s="184" t="e">
        <f t="shared" si="7"/>
        <v>#DIV/0!</v>
      </c>
      <c r="H33">
        <f>VAR(B7:G7)</f>
        <v>22.413666666666664</v>
      </c>
    </row>
    <row r="34" spans="1:8" x14ac:dyDescent="0.25">
      <c r="B34">
        <f t="shared" ref="B34:G34" si="8">VAR(B4:B7)</f>
        <v>13.856666666666646</v>
      </c>
      <c r="C34">
        <f t="shared" si="8"/>
        <v>14.135833333333343</v>
      </c>
      <c r="D34">
        <f t="shared" si="8"/>
        <v>7.7958333333333298</v>
      </c>
      <c r="E34">
        <f t="shared" si="8"/>
        <v>7.1266666666666652</v>
      </c>
      <c r="F34">
        <f t="shared" si="8"/>
        <v>6.5900000000000007</v>
      </c>
      <c r="G34">
        <f t="shared" si="8"/>
        <v>5.5091666666666681</v>
      </c>
      <c r="H34">
        <f>VAR(B4:G7)</f>
        <v>33.76911231884057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AH34"/>
  <sheetViews>
    <sheetView workbookViewId="0"/>
  </sheetViews>
  <sheetFormatPr defaultRowHeight="15" x14ac:dyDescent="0.25"/>
  <cols>
    <col min="1" max="1" width="9.140625" customWidth="1"/>
    <col min="2" max="7" width="7.28515625" customWidth="1"/>
    <col min="9" max="9" width="4.140625" customWidth="1"/>
    <col min="12" max="12" width="5.5703125" customWidth="1"/>
  </cols>
  <sheetData>
    <row r="1" spans="1:32" x14ac:dyDescent="0.25">
      <c r="A1" s="1" t="s">
        <v>789</v>
      </c>
    </row>
    <row r="3" spans="1:32" x14ac:dyDescent="0.25">
      <c r="A3" t="s">
        <v>652</v>
      </c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</row>
    <row r="4" spans="1:32" x14ac:dyDescent="0.25">
      <c r="A4" t="s">
        <v>653</v>
      </c>
      <c r="B4" s="358">
        <v>9.7000000000000011</v>
      </c>
      <c r="C4" s="351">
        <v>19.2</v>
      </c>
      <c r="D4" s="351">
        <v>8.3000000000000007</v>
      </c>
      <c r="E4" s="351">
        <v>6.3</v>
      </c>
      <c r="F4" s="351">
        <v>6.7</v>
      </c>
      <c r="G4" s="359">
        <v>5.8</v>
      </c>
    </row>
    <row r="5" spans="1:32" x14ac:dyDescent="0.25">
      <c r="A5" t="s">
        <v>654</v>
      </c>
      <c r="B5" s="107">
        <v>13</v>
      </c>
      <c r="C5" s="7">
        <v>20.2</v>
      </c>
      <c r="D5" s="7">
        <v>6.4</v>
      </c>
      <c r="E5" s="7">
        <v>6</v>
      </c>
      <c r="F5" s="7">
        <v>5.1999999999999993</v>
      </c>
      <c r="G5" s="108">
        <v>3.6</v>
      </c>
    </row>
    <row r="6" spans="1:32" x14ac:dyDescent="0.25">
      <c r="A6" t="s">
        <v>655</v>
      </c>
      <c r="B6" s="369">
        <v>15.6</v>
      </c>
      <c r="C6" s="7">
        <v>17.7</v>
      </c>
      <c r="D6" s="7">
        <v>6.1</v>
      </c>
      <c r="E6" s="7">
        <v>3.9999999999999996</v>
      </c>
      <c r="F6" s="7">
        <v>3.1</v>
      </c>
      <c r="G6" s="108">
        <v>4.0999999999999996</v>
      </c>
    </row>
    <row r="7" spans="1:32" x14ac:dyDescent="0.25">
      <c r="A7" t="s">
        <v>656</v>
      </c>
      <c r="B7" s="52">
        <v>7.1</v>
      </c>
      <c r="C7" s="353">
        <v>11.8</v>
      </c>
      <c r="D7" s="353">
        <v>1.7</v>
      </c>
      <c r="E7" s="353">
        <v>0.5</v>
      </c>
      <c r="F7" s="353">
        <v>0.8</v>
      </c>
      <c r="G7" s="56">
        <v>0.2</v>
      </c>
    </row>
    <row r="9" spans="1:32" ht="15.75" thickBot="1" x14ac:dyDescent="0.3">
      <c r="A9" t="s">
        <v>99</v>
      </c>
      <c r="J9" t="s">
        <v>663</v>
      </c>
      <c r="R9" t="s">
        <v>659</v>
      </c>
      <c r="AA9" t="s">
        <v>660</v>
      </c>
    </row>
    <row r="10" spans="1:32" ht="15.75" thickTop="1" x14ac:dyDescent="0.25">
      <c r="AA10" s="191" t="s">
        <v>825</v>
      </c>
      <c r="AB10" s="191" t="s">
        <v>6</v>
      </c>
      <c r="AC10" s="191" t="s">
        <v>183</v>
      </c>
      <c r="AD10" s="191" t="s">
        <v>37</v>
      </c>
      <c r="AE10" s="191" t="s">
        <v>113</v>
      </c>
      <c r="AF10" s="191" t="s">
        <v>826</v>
      </c>
    </row>
    <row r="11" spans="1:32" ht="15.75" thickBot="1" x14ac:dyDescent="0.3">
      <c r="A11" t="str">
        <f>IF(A3="","",A3)</f>
        <v>Herbicide</v>
      </c>
      <c r="B11">
        <f t="shared" ref="B11:G11" si="0">B3</f>
        <v>5</v>
      </c>
      <c r="C11">
        <f t="shared" si="0"/>
        <v>10</v>
      </c>
      <c r="D11">
        <f t="shared" si="0"/>
        <v>15</v>
      </c>
      <c r="E11">
        <f t="shared" si="0"/>
        <v>20</v>
      </c>
      <c r="F11">
        <f t="shared" si="0"/>
        <v>25</v>
      </c>
      <c r="G11">
        <f t="shared" si="0"/>
        <v>30</v>
      </c>
      <c r="H11" s="365" t="s">
        <v>8</v>
      </c>
      <c r="J11" t="s">
        <v>84</v>
      </c>
      <c r="N11" t="s">
        <v>17</v>
      </c>
      <c r="O11">
        <v>0.05</v>
      </c>
      <c r="R11" t="str">
        <f>IF(A3="","",A3)</f>
        <v>Herbicide</v>
      </c>
      <c r="S11">
        <f t="shared" ref="S11:X11" si="1">B3</f>
        <v>5</v>
      </c>
      <c r="T11">
        <f t="shared" si="1"/>
        <v>10</v>
      </c>
      <c r="U11">
        <f t="shared" si="1"/>
        <v>15</v>
      </c>
      <c r="V11">
        <f t="shared" si="1"/>
        <v>20</v>
      </c>
      <c r="W11">
        <f t="shared" si="1"/>
        <v>25</v>
      </c>
      <c r="X11">
        <f t="shared" si="1"/>
        <v>30</v>
      </c>
      <c r="AA11" s="351">
        <f t="array" ref="AA11:AA16">TRANSPOSE(B3:G3)</f>
        <v>5</v>
      </c>
      <c r="AB11" s="351">
        <f>AVERAGE(B4:B7)</f>
        <v>11.350000000000001</v>
      </c>
      <c r="AC11" s="351"/>
      <c r="AD11" s="351"/>
      <c r="AE11" s="351"/>
      <c r="AF11" s="351"/>
    </row>
    <row r="12" spans="1:32" ht="15.75" thickTop="1" x14ac:dyDescent="0.25">
      <c r="A12" t="str">
        <f t="shared" ref="A12:G15" si="2">A4</f>
        <v>Field 1</v>
      </c>
      <c r="B12" s="370">
        <f t="shared" si="2"/>
        <v>9.7000000000000011</v>
      </c>
      <c r="C12" s="371">
        <f t="shared" si="2"/>
        <v>19.2</v>
      </c>
      <c r="D12" s="371">
        <f t="shared" si="2"/>
        <v>8.3000000000000007</v>
      </c>
      <c r="E12" s="371">
        <f t="shared" si="2"/>
        <v>6.3</v>
      </c>
      <c r="F12" s="371">
        <f t="shared" si="2"/>
        <v>6.7</v>
      </c>
      <c r="G12" s="372">
        <f t="shared" si="2"/>
        <v>5.8</v>
      </c>
      <c r="H12">
        <f>AVERAGE(B12:G12)</f>
        <v>9.3333333333333339</v>
      </c>
      <c r="J12" s="191" t="s">
        <v>100</v>
      </c>
      <c r="K12" s="191" t="s">
        <v>76</v>
      </c>
      <c r="L12" s="191" t="s">
        <v>37</v>
      </c>
      <c r="M12" s="191" t="s">
        <v>78</v>
      </c>
      <c r="N12" s="191" t="s">
        <v>68</v>
      </c>
      <c r="O12" s="191" t="s">
        <v>101</v>
      </c>
      <c r="P12" s="191" t="s">
        <v>102</v>
      </c>
      <c r="R12" t="s">
        <v>114</v>
      </c>
      <c r="S12" s="373">
        <v>-0.2</v>
      </c>
      <c r="T12" s="374">
        <v>1</v>
      </c>
      <c r="U12" s="374">
        <v>-0.2</v>
      </c>
      <c r="V12" s="374">
        <v>-0.2</v>
      </c>
      <c r="W12" s="374">
        <v>-0.2</v>
      </c>
      <c r="X12" s="375">
        <v>-0.2</v>
      </c>
      <c r="Y12" s="376" t="s">
        <v>182</v>
      </c>
      <c r="AA12" s="7">
        <v>10</v>
      </c>
      <c r="AB12" s="7">
        <f>AVERAGE(C4:C7)</f>
        <v>17.224999999999998</v>
      </c>
      <c r="AC12" s="7"/>
      <c r="AD12" s="7"/>
      <c r="AE12" s="7"/>
      <c r="AF12" s="7"/>
    </row>
    <row r="13" spans="1:32" x14ac:dyDescent="0.25">
      <c r="A13" t="str">
        <f t="shared" si="2"/>
        <v>Field 2</v>
      </c>
      <c r="B13" s="76">
        <f t="shared" si="2"/>
        <v>13</v>
      </c>
      <c r="C13" s="7">
        <f t="shared" si="2"/>
        <v>20.2</v>
      </c>
      <c r="D13" s="7">
        <f t="shared" si="2"/>
        <v>6.4</v>
      </c>
      <c r="E13" s="7">
        <f t="shared" si="2"/>
        <v>6</v>
      </c>
      <c r="F13" s="7">
        <f t="shared" si="2"/>
        <v>5.1999999999999993</v>
      </c>
      <c r="G13" s="35">
        <f t="shared" si="2"/>
        <v>3.6</v>
      </c>
      <c r="H13">
        <f>AVERAGE(B13:G13)</f>
        <v>9.0666666666666664</v>
      </c>
      <c r="J13" t="s">
        <v>658</v>
      </c>
      <c r="K13">
        <f>(L14+1)*DEVSQ(H12:H15)</f>
        <v>127.12125000000003</v>
      </c>
      <c r="L13">
        <f>COUNT(B12:B15)-1</f>
        <v>3</v>
      </c>
      <c r="M13">
        <f>K13/L13</f>
        <v>42.373750000000008</v>
      </c>
      <c r="N13">
        <f>M13/M15</f>
        <v>16.761215677225838</v>
      </c>
      <c r="O13">
        <f>FDIST(N13,L13,L15)</f>
        <v>4.6901407613544823E-5</v>
      </c>
      <c r="P13">
        <f>FINV(O11,L13,L15)</f>
        <v>3.2873821046365093</v>
      </c>
      <c r="R13" t="str">
        <f t="shared" ref="R13:X16" si="3">A4</f>
        <v>Field 1</v>
      </c>
      <c r="S13" s="370">
        <f t="shared" si="3"/>
        <v>9.7000000000000011</v>
      </c>
      <c r="T13" s="371">
        <f t="shared" si="3"/>
        <v>19.2</v>
      </c>
      <c r="U13" s="371">
        <f t="shared" si="3"/>
        <v>8.3000000000000007</v>
      </c>
      <c r="V13" s="371">
        <f t="shared" si="3"/>
        <v>6.3</v>
      </c>
      <c r="W13" s="371">
        <f t="shared" si="3"/>
        <v>6.7</v>
      </c>
      <c r="X13" s="372">
        <f t="shared" si="3"/>
        <v>5.8</v>
      </c>
      <c r="Y13" s="377">
        <f>SUMPRODUCT($S$12:$X$12,S13:X13)</f>
        <v>11.839999999999998</v>
      </c>
      <c r="AA13" s="7">
        <v>15</v>
      </c>
      <c r="AB13" s="7">
        <f>AVERAGE(D4:D7)</f>
        <v>5.625</v>
      </c>
      <c r="AC13" s="7"/>
      <c r="AD13" s="7"/>
      <c r="AE13" s="7"/>
      <c r="AF13" s="7"/>
    </row>
    <row r="14" spans="1:32" x14ac:dyDescent="0.25">
      <c r="A14" t="str">
        <f t="shared" si="2"/>
        <v>Field 3</v>
      </c>
      <c r="B14" s="76">
        <f t="shared" si="2"/>
        <v>15.6</v>
      </c>
      <c r="C14" s="7">
        <f t="shared" si="2"/>
        <v>17.7</v>
      </c>
      <c r="D14" s="7">
        <f t="shared" si="2"/>
        <v>6.1</v>
      </c>
      <c r="E14" s="7">
        <f t="shared" si="2"/>
        <v>3.9999999999999996</v>
      </c>
      <c r="F14" s="7">
        <f t="shared" si="2"/>
        <v>3.1</v>
      </c>
      <c r="G14" s="35">
        <f t="shared" si="2"/>
        <v>4.0999999999999996</v>
      </c>
      <c r="H14">
        <f>AVERAGE(B14:G14)</f>
        <v>8.4333333333333336</v>
      </c>
      <c r="J14" t="s">
        <v>47</v>
      </c>
      <c r="K14">
        <f>(L13+1)*DEVSQ(B16:G16)</f>
        <v>611.64708333333328</v>
      </c>
      <c r="L14">
        <f>COUNT(B12:G12)-1</f>
        <v>5</v>
      </c>
      <c r="M14">
        <f>K14/L14</f>
        <v>122.32941666666666</v>
      </c>
      <c r="N14">
        <f>M14/M15</f>
        <v>48.388205821274362</v>
      </c>
      <c r="O14">
        <f>FDIST(N14,L14,L15)</f>
        <v>1.0032783080736466E-8</v>
      </c>
      <c r="P14">
        <f>FINV(O11,L14,L15)</f>
        <v>2.9012945362361564</v>
      </c>
      <c r="R14" t="str">
        <f t="shared" si="3"/>
        <v>Field 2</v>
      </c>
      <c r="S14" s="76">
        <f t="shared" si="3"/>
        <v>13</v>
      </c>
      <c r="T14" s="7">
        <f t="shared" si="3"/>
        <v>20.2</v>
      </c>
      <c r="U14" s="7">
        <f t="shared" si="3"/>
        <v>6.4</v>
      </c>
      <c r="V14" s="7">
        <f t="shared" si="3"/>
        <v>6</v>
      </c>
      <c r="W14" s="7">
        <f t="shared" si="3"/>
        <v>5.1999999999999993</v>
      </c>
      <c r="X14" s="35">
        <f t="shared" si="3"/>
        <v>3.6</v>
      </c>
      <c r="Y14" s="173">
        <f>SUMPRODUCT($S$12:$X$12,S14:X14)</f>
        <v>13.359999999999998</v>
      </c>
      <c r="AA14" s="7">
        <v>20</v>
      </c>
      <c r="AB14" s="7">
        <f>AVERAGE(E4:E7)</f>
        <v>4.2</v>
      </c>
      <c r="AC14" s="7"/>
      <c r="AD14" s="7"/>
      <c r="AE14" s="7"/>
      <c r="AF14" s="7"/>
    </row>
    <row r="15" spans="1:32" x14ac:dyDescent="0.25">
      <c r="A15" t="str">
        <f t="shared" si="2"/>
        <v>Field 4</v>
      </c>
      <c r="B15" s="348">
        <f t="shared" si="2"/>
        <v>7.1</v>
      </c>
      <c r="C15" s="349">
        <f t="shared" si="2"/>
        <v>11.8</v>
      </c>
      <c r="D15" s="349">
        <f t="shared" si="2"/>
        <v>1.7</v>
      </c>
      <c r="E15" s="349">
        <f t="shared" si="2"/>
        <v>0.5</v>
      </c>
      <c r="F15" s="349">
        <f t="shared" si="2"/>
        <v>0.8</v>
      </c>
      <c r="G15" s="350">
        <f t="shared" si="2"/>
        <v>0.2</v>
      </c>
      <c r="H15">
        <f>AVERAGE(B15:G15)</f>
        <v>3.6833333333333331</v>
      </c>
      <c r="J15" t="s">
        <v>122</v>
      </c>
      <c r="K15">
        <f>K16-K13-K14</f>
        <v>37.921249999999986</v>
      </c>
      <c r="L15">
        <f>L16-L13-L14</f>
        <v>15</v>
      </c>
      <c r="M15">
        <f>K15/L15</f>
        <v>2.5280833333333326</v>
      </c>
      <c r="R15" t="str">
        <f t="shared" si="3"/>
        <v>Field 3</v>
      </c>
      <c r="S15" s="76">
        <f t="shared" si="3"/>
        <v>15.6</v>
      </c>
      <c r="T15" s="7">
        <f t="shared" si="3"/>
        <v>17.7</v>
      </c>
      <c r="U15" s="7">
        <f t="shared" si="3"/>
        <v>6.1</v>
      </c>
      <c r="V15" s="7">
        <f t="shared" si="3"/>
        <v>3.9999999999999996</v>
      </c>
      <c r="W15" s="7">
        <f t="shared" si="3"/>
        <v>3.1</v>
      </c>
      <c r="X15" s="35">
        <f t="shared" si="3"/>
        <v>4.0999999999999996</v>
      </c>
      <c r="Y15" s="173">
        <f>SUMPRODUCT($S$12:$X$12,S15:X15)</f>
        <v>11.119999999999997</v>
      </c>
      <c r="AA15" s="7">
        <v>25</v>
      </c>
      <c r="AB15" s="7">
        <f>AVERAGE(F4:F7)</f>
        <v>3.9499999999999997</v>
      </c>
      <c r="AC15" s="7"/>
      <c r="AD15" s="7"/>
      <c r="AE15" s="7"/>
      <c r="AF15" s="7"/>
    </row>
    <row r="16" spans="1:32" x14ac:dyDescent="0.25">
      <c r="A16" t="s">
        <v>8</v>
      </c>
      <c r="B16">
        <f>AVERAGE(B12:B15)</f>
        <v>11.350000000000001</v>
      </c>
      <c r="C16">
        <f t="shared" ref="C16:H16" si="4">AVERAGE(C12:C15)</f>
        <v>17.224999999999998</v>
      </c>
      <c r="D16">
        <f t="shared" si="4"/>
        <v>5.625</v>
      </c>
      <c r="E16">
        <f t="shared" si="4"/>
        <v>4.2</v>
      </c>
      <c r="F16">
        <f t="shared" si="4"/>
        <v>3.9499999999999997</v>
      </c>
      <c r="G16">
        <f t="shared" si="4"/>
        <v>3.4249999999999998</v>
      </c>
      <c r="H16">
        <f t="shared" si="4"/>
        <v>7.6291666666666664</v>
      </c>
      <c r="J16" s="353" t="s">
        <v>1</v>
      </c>
      <c r="K16" s="353">
        <f>DEVSQ(B12:G15)</f>
        <v>776.6895833333333</v>
      </c>
      <c r="L16" s="353">
        <f>(L13+1)*(L14+1)-1</f>
        <v>23</v>
      </c>
      <c r="M16" s="353"/>
      <c r="N16" s="353"/>
      <c r="O16" s="353"/>
      <c r="P16" s="353"/>
      <c r="R16" t="str">
        <f t="shared" si="3"/>
        <v>Field 4</v>
      </c>
      <c r="S16" s="348">
        <f t="shared" si="3"/>
        <v>7.1</v>
      </c>
      <c r="T16" s="349">
        <f t="shared" si="3"/>
        <v>11.8</v>
      </c>
      <c r="U16" s="349">
        <f t="shared" si="3"/>
        <v>1.7</v>
      </c>
      <c r="V16" s="349">
        <f t="shared" si="3"/>
        <v>0.5</v>
      </c>
      <c r="W16" s="349">
        <f t="shared" si="3"/>
        <v>0.8</v>
      </c>
      <c r="X16" s="350">
        <f t="shared" si="3"/>
        <v>0.2</v>
      </c>
      <c r="Y16" s="378">
        <f>SUMPRODUCT($S$12:$X$12,S16:X16)</f>
        <v>9.740000000000002</v>
      </c>
      <c r="AA16" s="353">
        <v>30</v>
      </c>
      <c r="AB16" s="353">
        <f>AVERAGE(G4:G7)</f>
        <v>3.4249999999999998</v>
      </c>
      <c r="AC16" s="353"/>
      <c r="AD16" s="353"/>
      <c r="AE16" s="353"/>
      <c r="AF16" s="353"/>
    </row>
    <row r="17" spans="1:34" x14ac:dyDescent="0.25">
      <c r="A17" t="s">
        <v>48</v>
      </c>
      <c r="B17">
        <f>VAR(B12:B15)</f>
        <v>13.856666666666646</v>
      </c>
      <c r="C17">
        <f t="shared" ref="C17:H17" si="5">VAR(C12:C15)</f>
        <v>14.135833333333343</v>
      </c>
      <c r="D17">
        <f t="shared" si="5"/>
        <v>7.7958333333333298</v>
      </c>
      <c r="E17">
        <f t="shared" si="5"/>
        <v>7.1266666666666652</v>
      </c>
      <c r="F17">
        <f t="shared" si="5"/>
        <v>6.5900000000000007</v>
      </c>
      <c r="G17">
        <f t="shared" si="5"/>
        <v>5.5091666666666681</v>
      </c>
      <c r="H17">
        <f t="shared" si="5"/>
        <v>7.0622916666666713</v>
      </c>
      <c r="X17" t="s">
        <v>6</v>
      </c>
      <c r="Y17" s="377">
        <f>AVERAGE(Y13:Y16)</f>
        <v>11.514999999999999</v>
      </c>
      <c r="AC17" t="e">
        <f ca="1">SQRT(MSWF(B4:G7,1)/COUNT(B4:B7))</f>
        <v>#NAME?</v>
      </c>
      <c r="AD17" t="e">
        <f ca="1">dfWF(B4:G7,1)</f>
        <v>#NAME?</v>
      </c>
      <c r="AE17" t="e">
        <f ca="1">QCRIT(COUNT(AB11:AB16),AD17,AH18,2)</f>
        <v>#NAME?</v>
      </c>
      <c r="AF17" t="e">
        <f ca="1">AC17*AE17</f>
        <v>#NAME?</v>
      </c>
    </row>
    <row r="18" spans="1:34" ht="15.75" thickBot="1" x14ac:dyDescent="0.3">
      <c r="X18" t="s">
        <v>46</v>
      </c>
      <c r="Y18" s="173">
        <f>STDEV(Y13:Y16)</f>
        <v>1.5073486657041182</v>
      </c>
      <c r="AA18" t="s">
        <v>498</v>
      </c>
      <c r="AG18" s="365" t="s">
        <v>58</v>
      </c>
      <c r="AH18">
        <v>0.05</v>
      </c>
    </row>
    <row r="19" spans="1:34" ht="15.75" thickTop="1" x14ac:dyDescent="0.25">
      <c r="X19" t="s">
        <v>183</v>
      </c>
      <c r="Y19" s="378">
        <f>Y18/SQRT(COUNTA(Y13:Y16))</f>
        <v>0.75367433285205909</v>
      </c>
      <c r="AA19" s="191" t="s">
        <v>827</v>
      </c>
      <c r="AB19" s="191" t="s">
        <v>828</v>
      </c>
      <c r="AC19" s="191" t="s">
        <v>6</v>
      </c>
      <c r="AD19" s="191" t="s">
        <v>497</v>
      </c>
      <c r="AE19" s="191" t="s">
        <v>14</v>
      </c>
      <c r="AF19" s="191" t="s">
        <v>15</v>
      </c>
      <c r="AG19" s="191" t="s">
        <v>43</v>
      </c>
      <c r="AH19" s="191" t="s">
        <v>41</v>
      </c>
    </row>
    <row r="20" spans="1:34" x14ac:dyDescent="0.25">
      <c r="AA20" s="379">
        <f>AA11</f>
        <v>5</v>
      </c>
      <c r="AB20" s="379">
        <f>AA12</f>
        <v>10</v>
      </c>
      <c r="AC20" s="379">
        <f>ABS(AB11-AB12)</f>
        <v>5.8749999999999964</v>
      </c>
      <c r="AD20" s="379" t="e">
        <f t="shared" ref="AD20:AD34" ca="1" si="6">AC20/AC$17</f>
        <v>#NAME?</v>
      </c>
      <c r="AE20" s="379" t="e">
        <f t="shared" ref="AE20:AE34" ca="1" si="7">AC20-AF$17</f>
        <v>#NAME?</v>
      </c>
      <c r="AF20" s="379" t="e">
        <f t="shared" ref="AF20:AF34" ca="1" si="8">AC20+AF$17</f>
        <v>#NAME?</v>
      </c>
      <c r="AG20" s="379" t="e">
        <f ca="1">QDIST(AD20,COUNT(AB$11:AB$16),AD$17)</f>
        <v>#NAME?</v>
      </c>
      <c r="AH20" s="379" t="e">
        <f t="shared" ref="AH20:AH34" ca="1" si="9">AD20/SQRT(COUNT(B$4:B$7))</f>
        <v>#NAME?</v>
      </c>
    </row>
    <row r="21" spans="1:34" ht="15.75" thickBot="1" x14ac:dyDescent="0.3">
      <c r="R21" t="s">
        <v>42</v>
      </c>
      <c r="U21" t="s">
        <v>17</v>
      </c>
      <c r="V21">
        <v>0.05</v>
      </c>
      <c r="AA21" s="7">
        <f>AA11</f>
        <v>5</v>
      </c>
      <c r="AB21" s="7">
        <f>AA13</f>
        <v>15</v>
      </c>
      <c r="AC21" s="7">
        <f>ABS(AB11-AB13)</f>
        <v>5.7250000000000014</v>
      </c>
      <c r="AD21" s="7" t="e">
        <f t="shared" ca="1" si="6"/>
        <v>#NAME?</v>
      </c>
      <c r="AE21" s="7" t="e">
        <f t="shared" ca="1" si="7"/>
        <v>#NAME?</v>
      </c>
      <c r="AF21" s="7" t="e">
        <f t="shared" ca="1" si="8"/>
        <v>#NAME?</v>
      </c>
      <c r="AG21" s="7" t="e">
        <f ca="1">QDIST(AD21,COUNT(AB$11:AB$16),AD$17)</f>
        <v>#NAME?</v>
      </c>
      <c r="AH21" s="7" t="e">
        <f t="shared" ca="1" si="9"/>
        <v>#NAME?</v>
      </c>
    </row>
    <row r="22" spans="1:34" ht="15.75" thickTop="1" x14ac:dyDescent="0.25">
      <c r="R22" s="191" t="s">
        <v>6</v>
      </c>
      <c r="S22" s="191" t="s">
        <v>183</v>
      </c>
      <c r="T22" s="191" t="s">
        <v>53</v>
      </c>
      <c r="U22" s="191" t="s">
        <v>37</v>
      </c>
      <c r="V22" s="191" t="s">
        <v>43</v>
      </c>
      <c r="W22" s="191" t="s">
        <v>111</v>
      </c>
      <c r="X22" s="191" t="s">
        <v>191</v>
      </c>
      <c r="Y22" s="191" t="s">
        <v>192</v>
      </c>
      <c r="AA22" s="7">
        <f>AA11</f>
        <v>5</v>
      </c>
      <c r="AB22" s="7">
        <f>AA14</f>
        <v>20</v>
      </c>
      <c r="AC22" s="7">
        <f>ABS(AB11-AB14)</f>
        <v>7.1500000000000012</v>
      </c>
      <c r="AD22" s="7" t="e">
        <f t="shared" ca="1" si="6"/>
        <v>#NAME?</v>
      </c>
      <c r="AE22" s="7" t="e">
        <f t="shared" ca="1" si="7"/>
        <v>#NAME?</v>
      </c>
      <c r="AF22" s="7" t="e">
        <f t="shared" ca="1" si="8"/>
        <v>#NAME?</v>
      </c>
      <c r="AG22" s="7" t="e">
        <f ca="1">QDIST(AD22,COUNT(AB$11:AB$16),AD$17)</f>
        <v>#NAME?</v>
      </c>
      <c r="AH22" s="7" t="e">
        <f t="shared" ca="1" si="9"/>
        <v>#NAME?</v>
      </c>
    </row>
    <row r="23" spans="1:34" x14ac:dyDescent="0.25">
      <c r="R23" s="380">
        <f>Y17</f>
        <v>11.514999999999999</v>
      </c>
      <c r="S23" s="380">
        <f>Y19</f>
        <v>0.75367433285205909</v>
      </c>
      <c r="T23" s="380">
        <f>R23/S23</f>
        <v>15.278482360444549</v>
      </c>
      <c r="U23" s="380">
        <f>COUNTA(Y13:Y16)-1</f>
        <v>3</v>
      </c>
      <c r="V23" s="380">
        <f>TDIST(ABS(T23),U23,2)</f>
        <v>6.0893737190653751E-4</v>
      </c>
      <c r="W23" s="381" t="str">
        <f>IF(V23&lt;V21,"yes","no")</f>
        <v>yes</v>
      </c>
      <c r="X23" s="380">
        <f>ABS(Y17)/Y18</f>
        <v>7.6392411802222746</v>
      </c>
      <c r="Y23" s="380">
        <f>SQRT(R23^2/(R23^2+U23))</f>
        <v>0.9888757895203325</v>
      </c>
      <c r="Z23" s="365"/>
      <c r="AA23" s="7">
        <f>AA11</f>
        <v>5</v>
      </c>
      <c r="AB23" s="7">
        <f>AA15</f>
        <v>25</v>
      </c>
      <c r="AC23" s="7">
        <f>ABS(AB11-AB15)</f>
        <v>7.4000000000000021</v>
      </c>
      <c r="AD23" s="7" t="e">
        <f t="shared" ca="1" si="6"/>
        <v>#NAME?</v>
      </c>
      <c r="AE23" s="7" t="e">
        <f t="shared" ca="1" si="7"/>
        <v>#NAME?</v>
      </c>
      <c r="AF23" s="7" t="e">
        <f t="shared" ca="1" si="8"/>
        <v>#NAME?</v>
      </c>
      <c r="AG23" s="7" t="e">
        <f ca="1">QDIST(AD23,COUNT(AB$11:AB$16),AD$17)</f>
        <v>#NAME?</v>
      </c>
      <c r="AH23" s="7" t="e">
        <f t="shared" ca="1" si="9"/>
        <v>#NAME?</v>
      </c>
    </row>
    <row r="24" spans="1:34" x14ac:dyDescent="0.25">
      <c r="AA24" s="7">
        <f>AA11</f>
        <v>5</v>
      </c>
      <c r="AB24" s="7">
        <f>AA16</f>
        <v>30</v>
      </c>
      <c r="AC24" s="7">
        <f>ABS(AB11-AB16)</f>
        <v>7.9250000000000016</v>
      </c>
      <c r="AD24" s="7" t="e">
        <f t="shared" ca="1" si="6"/>
        <v>#NAME?</v>
      </c>
      <c r="AE24" s="7" t="e">
        <f t="shared" ca="1" si="7"/>
        <v>#NAME?</v>
      </c>
      <c r="AF24" s="7" t="e">
        <f t="shared" ca="1" si="8"/>
        <v>#NAME?</v>
      </c>
      <c r="AG24" s="7" t="e">
        <f ca="1">QDIST(AD24,COUNT(AB$11:AB$16),AD$17)</f>
        <v>#NAME?</v>
      </c>
      <c r="AH24" s="7" t="e">
        <f t="shared" ca="1" si="9"/>
        <v>#NAME?</v>
      </c>
    </row>
    <row r="25" spans="1:34" x14ac:dyDescent="0.25">
      <c r="AA25" s="7">
        <f>AA12</f>
        <v>10</v>
      </c>
      <c r="AB25" s="7">
        <f>AA13</f>
        <v>15</v>
      </c>
      <c r="AC25" s="7">
        <f>ABS(AB12-AB13)</f>
        <v>11.599999999999998</v>
      </c>
      <c r="AD25" s="7" t="e">
        <f t="shared" ca="1" si="6"/>
        <v>#NAME?</v>
      </c>
      <c r="AE25" s="7" t="e">
        <f t="shared" ca="1" si="7"/>
        <v>#NAME?</v>
      </c>
      <c r="AF25" s="7" t="e">
        <f t="shared" ca="1" si="8"/>
        <v>#NAME?</v>
      </c>
      <c r="AG25" s="7" t="e">
        <f ca="1">QDIST(AD25,COUNT(AB$11:AB$16),AD$17)</f>
        <v>#NAME?</v>
      </c>
      <c r="AH25" s="7" t="e">
        <f t="shared" ca="1" si="9"/>
        <v>#NAME?</v>
      </c>
    </row>
    <row r="26" spans="1:34" x14ac:dyDescent="0.25">
      <c r="AA26" s="7">
        <f>AA12</f>
        <v>10</v>
      </c>
      <c r="AB26" s="7">
        <f>AA14</f>
        <v>20</v>
      </c>
      <c r="AC26" s="7">
        <f>ABS(AB12-AB14)</f>
        <v>13.024999999999999</v>
      </c>
      <c r="AD26" s="7" t="e">
        <f t="shared" ca="1" si="6"/>
        <v>#NAME?</v>
      </c>
      <c r="AE26" s="7" t="e">
        <f t="shared" ca="1" si="7"/>
        <v>#NAME?</v>
      </c>
      <c r="AF26" s="7" t="e">
        <f t="shared" ca="1" si="8"/>
        <v>#NAME?</v>
      </c>
      <c r="AG26" s="7" t="e">
        <f ca="1">QDIST(AD26,COUNT(AB$11:AB$16),AD$17)</f>
        <v>#NAME?</v>
      </c>
      <c r="AH26" s="7" t="e">
        <f t="shared" ca="1" si="9"/>
        <v>#NAME?</v>
      </c>
    </row>
    <row r="27" spans="1:34" x14ac:dyDescent="0.25">
      <c r="AA27" s="7">
        <f>AA12</f>
        <v>10</v>
      </c>
      <c r="AB27" s="7">
        <f>AA15</f>
        <v>25</v>
      </c>
      <c r="AC27" s="7">
        <f>ABS(AB12-AB15)</f>
        <v>13.274999999999999</v>
      </c>
      <c r="AD27" s="7" t="e">
        <f t="shared" ca="1" si="6"/>
        <v>#NAME?</v>
      </c>
      <c r="AE27" s="7" t="e">
        <f t="shared" ca="1" si="7"/>
        <v>#NAME?</v>
      </c>
      <c r="AF27" s="7" t="e">
        <f t="shared" ca="1" si="8"/>
        <v>#NAME?</v>
      </c>
      <c r="AG27" s="7" t="e">
        <f ca="1">QDIST(AD27,COUNT(AB$11:AB$16),AD$17)</f>
        <v>#NAME?</v>
      </c>
      <c r="AH27" s="7" t="e">
        <f t="shared" ca="1" si="9"/>
        <v>#NAME?</v>
      </c>
    </row>
    <row r="28" spans="1:34" x14ac:dyDescent="0.25">
      <c r="AA28" s="7">
        <f>AA12</f>
        <v>10</v>
      </c>
      <c r="AB28" s="7">
        <f>AA16</f>
        <v>30</v>
      </c>
      <c r="AC28" s="7">
        <f>ABS(AB12-AB16)</f>
        <v>13.799999999999997</v>
      </c>
      <c r="AD28" s="7" t="e">
        <f t="shared" ca="1" si="6"/>
        <v>#NAME?</v>
      </c>
      <c r="AE28" s="7" t="e">
        <f t="shared" ca="1" si="7"/>
        <v>#NAME?</v>
      </c>
      <c r="AF28" s="7" t="e">
        <f t="shared" ca="1" si="8"/>
        <v>#NAME?</v>
      </c>
      <c r="AG28" s="7" t="e">
        <f ca="1">QDIST(AD28,COUNT(AB$11:AB$16),AD$17)</f>
        <v>#NAME?</v>
      </c>
      <c r="AH28" s="7" t="e">
        <f t="shared" ca="1" si="9"/>
        <v>#NAME?</v>
      </c>
    </row>
    <row r="29" spans="1:34" x14ac:dyDescent="0.25">
      <c r="AA29" s="7">
        <f>AA13</f>
        <v>15</v>
      </c>
      <c r="AB29" s="7">
        <f>AA14</f>
        <v>20</v>
      </c>
      <c r="AC29" s="7">
        <f>ABS(AB13-AB14)</f>
        <v>1.4249999999999998</v>
      </c>
      <c r="AD29" s="7" t="e">
        <f t="shared" ca="1" si="6"/>
        <v>#NAME?</v>
      </c>
      <c r="AE29" s="7" t="e">
        <f t="shared" ca="1" si="7"/>
        <v>#NAME?</v>
      </c>
      <c r="AF29" s="7" t="e">
        <f t="shared" ca="1" si="8"/>
        <v>#NAME?</v>
      </c>
      <c r="AG29" s="7" t="e">
        <f ca="1">QDIST(AD29,COUNT(AB$11:AB$16),AD$17)</f>
        <v>#NAME?</v>
      </c>
      <c r="AH29" s="7" t="e">
        <f t="shared" ca="1" si="9"/>
        <v>#NAME?</v>
      </c>
    </row>
    <row r="30" spans="1:34" x14ac:dyDescent="0.25">
      <c r="AA30" s="7">
        <f>AA13</f>
        <v>15</v>
      </c>
      <c r="AB30" s="7">
        <f>AA15</f>
        <v>25</v>
      </c>
      <c r="AC30" s="7">
        <f>ABS(AB13-AB15)</f>
        <v>1.6750000000000003</v>
      </c>
      <c r="AD30" s="7" t="e">
        <f t="shared" ca="1" si="6"/>
        <v>#NAME?</v>
      </c>
      <c r="AE30" s="7" t="e">
        <f t="shared" ca="1" si="7"/>
        <v>#NAME?</v>
      </c>
      <c r="AF30" s="7" t="e">
        <f t="shared" ca="1" si="8"/>
        <v>#NAME?</v>
      </c>
      <c r="AG30" s="7" t="e">
        <f ca="1">QDIST(AD30,COUNT(AB$11:AB$16),AD$17)</f>
        <v>#NAME?</v>
      </c>
      <c r="AH30" s="7" t="e">
        <f t="shared" ca="1" si="9"/>
        <v>#NAME?</v>
      </c>
    </row>
    <row r="31" spans="1:34" x14ac:dyDescent="0.25">
      <c r="AA31" s="7">
        <f>AA13</f>
        <v>15</v>
      </c>
      <c r="AB31" s="7">
        <f>AA16</f>
        <v>30</v>
      </c>
      <c r="AC31" s="7">
        <f>ABS(AB13-AB16)</f>
        <v>2.2000000000000002</v>
      </c>
      <c r="AD31" s="7" t="e">
        <f t="shared" ca="1" si="6"/>
        <v>#NAME?</v>
      </c>
      <c r="AE31" s="7" t="e">
        <f t="shared" ca="1" si="7"/>
        <v>#NAME?</v>
      </c>
      <c r="AF31" s="7" t="e">
        <f t="shared" ca="1" si="8"/>
        <v>#NAME?</v>
      </c>
      <c r="AG31" s="7" t="e">
        <f ca="1">QDIST(AD31,COUNT(AB$11:AB$16),AD$17)</f>
        <v>#NAME?</v>
      </c>
      <c r="AH31" s="7" t="e">
        <f t="shared" ca="1" si="9"/>
        <v>#NAME?</v>
      </c>
    </row>
    <row r="32" spans="1:34" x14ac:dyDescent="0.25">
      <c r="AA32" s="7">
        <f>AA14</f>
        <v>20</v>
      </c>
      <c r="AB32" s="7">
        <f>AA15</f>
        <v>25</v>
      </c>
      <c r="AC32" s="7">
        <f>ABS(AB14-AB15)</f>
        <v>0.25000000000000044</v>
      </c>
      <c r="AD32" s="7" t="e">
        <f t="shared" ca="1" si="6"/>
        <v>#NAME?</v>
      </c>
      <c r="AE32" s="7" t="e">
        <f t="shared" ca="1" si="7"/>
        <v>#NAME?</v>
      </c>
      <c r="AF32" s="7" t="e">
        <f t="shared" ca="1" si="8"/>
        <v>#NAME?</v>
      </c>
      <c r="AG32" s="7" t="e">
        <f ca="1">QDIST(AD32,COUNT(AB$11:AB$16),AD$17)</f>
        <v>#NAME?</v>
      </c>
      <c r="AH32" s="7" t="e">
        <f t="shared" ca="1" si="9"/>
        <v>#NAME?</v>
      </c>
    </row>
    <row r="33" spans="27:34" x14ac:dyDescent="0.25">
      <c r="AA33" s="7">
        <f>AA14</f>
        <v>20</v>
      </c>
      <c r="AB33" s="7">
        <f>AA16</f>
        <v>30</v>
      </c>
      <c r="AC33" s="7">
        <f>ABS(AB14-AB16)</f>
        <v>0.77500000000000036</v>
      </c>
      <c r="AD33" s="7" t="e">
        <f t="shared" ca="1" si="6"/>
        <v>#NAME?</v>
      </c>
      <c r="AE33" s="7" t="e">
        <f t="shared" ca="1" si="7"/>
        <v>#NAME?</v>
      </c>
      <c r="AF33" s="7" t="e">
        <f t="shared" ca="1" si="8"/>
        <v>#NAME?</v>
      </c>
      <c r="AG33" s="7" t="e">
        <f ca="1">QDIST(AD33,COUNT(AB$11:AB$16),AD$17)</f>
        <v>#NAME?</v>
      </c>
      <c r="AH33" s="7" t="e">
        <f t="shared" ca="1" si="9"/>
        <v>#NAME?</v>
      </c>
    </row>
    <row r="34" spans="27:34" x14ac:dyDescent="0.25">
      <c r="AA34" s="353">
        <f>AA15</f>
        <v>25</v>
      </c>
      <c r="AB34" s="353">
        <f>AA16</f>
        <v>30</v>
      </c>
      <c r="AC34" s="353">
        <f>ABS(AB15-AB16)</f>
        <v>0.52499999999999991</v>
      </c>
      <c r="AD34" s="353" t="e">
        <f t="shared" ca="1" si="6"/>
        <v>#NAME?</v>
      </c>
      <c r="AE34" s="353" t="e">
        <f t="shared" ca="1" si="7"/>
        <v>#NAME?</v>
      </c>
      <c r="AF34" s="353" t="e">
        <f t="shared" ca="1" si="8"/>
        <v>#NAME?</v>
      </c>
      <c r="AG34" s="353" t="e">
        <f ca="1">QDIST(AD34,COUNT(AB$11:AB$16),AD$17)</f>
        <v>#NAME?</v>
      </c>
      <c r="AH34" s="353" t="e">
        <f t="shared" ca="1" si="9"/>
        <v>#NAME?</v>
      </c>
    </row>
  </sheetData>
  <pageMargins left="0.7" right="0.7" top="0.75" bottom="0.75" header="0.3" footer="0.3"/>
  <ignoredErrors>
    <ignoredError sqref="AB11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AJ9"/>
  <sheetViews>
    <sheetView workbookViewId="0"/>
  </sheetViews>
  <sheetFormatPr defaultRowHeight="15" x14ac:dyDescent="0.25"/>
  <cols>
    <col min="1" max="1" width="9.140625" customWidth="1"/>
    <col min="2" max="7" width="7.28515625" customWidth="1"/>
    <col min="8" max="8" width="6.140625" customWidth="1"/>
    <col min="9" max="9" width="4.140625" customWidth="1"/>
    <col min="10" max="11" width="4" customWidth="1"/>
    <col min="12" max="12" width="5.5703125" customWidth="1"/>
    <col min="13" max="13" width="9.140625" customWidth="1"/>
    <col min="14" max="19" width="6" customWidth="1"/>
    <col min="20" max="20" width="9.140625" customWidth="1"/>
    <col min="30" max="30" width="9.140625" customWidth="1"/>
    <col min="32" max="32" width="9.140625" customWidth="1"/>
  </cols>
  <sheetData>
    <row r="1" spans="1:36" x14ac:dyDescent="0.25">
      <c r="A1" s="1" t="s">
        <v>790</v>
      </c>
      <c r="U1" t="s">
        <v>99</v>
      </c>
      <c r="AD1" t="s">
        <v>663</v>
      </c>
    </row>
    <row r="3" spans="1:36" ht="15.75" thickBot="1" x14ac:dyDescent="0.3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N3">
        <v>5</v>
      </c>
      <c r="O3">
        <f>N3+5</f>
        <v>10</v>
      </c>
      <c r="P3">
        <f>O3+5</f>
        <v>15</v>
      </c>
      <c r="Q3">
        <f>P3+5</f>
        <v>20</v>
      </c>
      <c r="R3">
        <f>Q3+5</f>
        <v>25</v>
      </c>
      <c r="S3">
        <f>R3+5</f>
        <v>30</v>
      </c>
      <c r="U3" t="str">
        <f>IF(M3="","",M3)</f>
        <v/>
      </c>
      <c r="V3">
        <f t="shared" ref="V3:AA3" si="0">N3</f>
        <v>5</v>
      </c>
      <c r="W3">
        <f t="shared" si="0"/>
        <v>10</v>
      </c>
      <c r="X3">
        <f t="shared" si="0"/>
        <v>15</v>
      </c>
      <c r="Y3">
        <f t="shared" si="0"/>
        <v>20</v>
      </c>
      <c r="Z3">
        <f t="shared" si="0"/>
        <v>25</v>
      </c>
      <c r="AA3">
        <f t="shared" si="0"/>
        <v>30</v>
      </c>
      <c r="AB3" s="341" t="s">
        <v>8</v>
      </c>
      <c r="AD3" t="s">
        <v>84</v>
      </c>
      <c r="AH3" t="s">
        <v>17</v>
      </c>
      <c r="AI3">
        <v>0.05</v>
      </c>
    </row>
    <row r="4" spans="1:36" ht="15.75" thickTop="1" x14ac:dyDescent="0.25">
      <c r="A4" t="s">
        <v>653</v>
      </c>
      <c r="B4" s="342">
        <v>9.7000000000000011</v>
      </c>
      <c r="C4" s="343">
        <v>19.2</v>
      </c>
      <c r="D4" s="343">
        <v>8.3000000000000007</v>
      </c>
      <c r="E4" s="343">
        <v>6.3</v>
      </c>
      <c r="F4" s="343">
        <v>6.7</v>
      </c>
      <c r="G4" s="344">
        <v>5.8</v>
      </c>
      <c r="H4" s="21">
        <f>SUM(B4:G4)</f>
        <v>56</v>
      </c>
      <c r="J4" t="s">
        <v>63</v>
      </c>
      <c r="K4" s="320">
        <f>COUNTA(A4:A7)</f>
        <v>4</v>
      </c>
      <c r="M4" t="s">
        <v>653</v>
      </c>
      <c r="N4" s="342">
        <v>9.7000000000000011</v>
      </c>
      <c r="O4" s="343">
        <v>19.2</v>
      </c>
      <c r="P4" s="343">
        <v>8.3000000000000007</v>
      </c>
      <c r="Q4" s="343">
        <v>6.3</v>
      </c>
      <c r="R4" s="343">
        <v>6.7</v>
      </c>
      <c r="S4" s="344">
        <v>5.8</v>
      </c>
      <c r="U4" t="str">
        <f t="shared" ref="U4:AA7" si="1">M4</f>
        <v>Field 1</v>
      </c>
      <c r="V4" s="301">
        <f t="shared" si="1"/>
        <v>9.7000000000000011</v>
      </c>
      <c r="W4" s="345">
        <f t="shared" si="1"/>
        <v>19.2</v>
      </c>
      <c r="X4" s="345">
        <f t="shared" si="1"/>
        <v>8.3000000000000007</v>
      </c>
      <c r="Y4" s="345">
        <f t="shared" si="1"/>
        <v>6.3</v>
      </c>
      <c r="Z4" s="345">
        <f t="shared" si="1"/>
        <v>6.7</v>
      </c>
      <c r="AA4" s="303">
        <f t="shared" si="1"/>
        <v>5.8</v>
      </c>
      <c r="AB4">
        <f>AVERAGE(V4:AA4)</f>
        <v>9.3333333333333339</v>
      </c>
      <c r="AD4" s="191" t="s">
        <v>100</v>
      </c>
      <c r="AE4" s="191" t="s">
        <v>76</v>
      </c>
      <c r="AF4" s="191" t="s">
        <v>37</v>
      </c>
      <c r="AG4" s="191" t="s">
        <v>78</v>
      </c>
      <c r="AH4" s="191" t="s">
        <v>68</v>
      </c>
      <c r="AI4" s="191" t="s">
        <v>101</v>
      </c>
      <c r="AJ4" s="191" t="s">
        <v>102</v>
      </c>
    </row>
    <row r="5" spans="1:36" x14ac:dyDescent="0.25">
      <c r="A5" t="s">
        <v>654</v>
      </c>
      <c r="B5" s="165">
        <v>13</v>
      </c>
      <c r="C5" s="37">
        <v>20.2</v>
      </c>
      <c r="D5" s="37"/>
      <c r="E5" s="37">
        <v>6</v>
      </c>
      <c r="F5" s="37">
        <v>5.1999999999999993</v>
      </c>
      <c r="G5" s="214">
        <v>3.6</v>
      </c>
      <c r="H5" s="21">
        <f>SUM(B5:G5)</f>
        <v>48.000000000000007</v>
      </c>
      <c r="J5" t="s">
        <v>23</v>
      </c>
      <c r="K5" s="58">
        <f>COUNTA(B3:G3)</f>
        <v>6</v>
      </c>
      <c r="M5" t="s">
        <v>654</v>
      </c>
      <c r="N5" s="165">
        <v>13</v>
      </c>
      <c r="O5" s="37">
        <v>20.2</v>
      </c>
      <c r="P5" s="346">
        <f>(H5*K4+D8*K5-H8)/((K4-1)*(K5-1))</f>
        <v>7.46</v>
      </c>
      <c r="Q5" s="37">
        <v>6</v>
      </c>
      <c r="R5" s="37">
        <v>5.1999999999999993</v>
      </c>
      <c r="S5" s="214">
        <v>3.6</v>
      </c>
      <c r="U5" t="str">
        <f t="shared" si="1"/>
        <v>Field 2</v>
      </c>
      <c r="V5" s="76">
        <f t="shared" si="1"/>
        <v>13</v>
      </c>
      <c r="W5" s="7">
        <f t="shared" si="1"/>
        <v>20.2</v>
      </c>
      <c r="X5" s="7">
        <f t="shared" si="1"/>
        <v>7.46</v>
      </c>
      <c r="Y5" s="7">
        <f t="shared" si="1"/>
        <v>6</v>
      </c>
      <c r="Z5" s="7">
        <f t="shared" si="1"/>
        <v>5.1999999999999993</v>
      </c>
      <c r="AA5" s="35">
        <f t="shared" si="1"/>
        <v>3.6</v>
      </c>
      <c r="AB5">
        <f>AVERAGE(V5:AA5)</f>
        <v>9.2433333333333341</v>
      </c>
      <c r="AD5" t="s">
        <v>658</v>
      </c>
      <c r="AE5">
        <f>(AF6+1)*DEVSQ(AB4:AB7)</f>
        <v>130.30920000000003</v>
      </c>
      <c r="AF5">
        <f>COUNT(V4:V7)-1</f>
        <v>3</v>
      </c>
      <c r="AG5">
        <f>AE5/AF5</f>
        <v>43.436400000000013</v>
      </c>
      <c r="AH5">
        <f>AG5/AG7</f>
        <v>17.505736317472188</v>
      </c>
      <c r="AI5">
        <f>FDIST(AH5,AF5,AF7)</f>
        <v>3.659596781181702E-5</v>
      </c>
      <c r="AJ5">
        <f>FINV(AI3,AF5,AF7)</f>
        <v>3.2873821046365093</v>
      </c>
    </row>
    <row r="6" spans="1:36" x14ac:dyDescent="0.25">
      <c r="A6" t="s">
        <v>655</v>
      </c>
      <c r="B6" s="165">
        <v>15.6</v>
      </c>
      <c r="C6" s="37">
        <v>17.7</v>
      </c>
      <c r="D6" s="37">
        <v>6.1</v>
      </c>
      <c r="E6" s="37">
        <v>3.9999999999999996</v>
      </c>
      <c r="F6" s="37">
        <v>3.1</v>
      </c>
      <c r="G6" s="214">
        <v>4.0999999999999996</v>
      </c>
      <c r="H6" s="21">
        <f>SUM(B6:G6)</f>
        <v>50.6</v>
      </c>
      <c r="M6" t="s">
        <v>655</v>
      </c>
      <c r="N6" s="165">
        <v>15.6</v>
      </c>
      <c r="O6" s="37">
        <v>17.7</v>
      </c>
      <c r="P6" s="37">
        <v>6.1</v>
      </c>
      <c r="Q6" s="37">
        <v>3.9999999999999996</v>
      </c>
      <c r="R6" s="37">
        <v>3.1</v>
      </c>
      <c r="S6" s="214">
        <v>4.0999999999999996</v>
      </c>
      <c r="U6" t="str">
        <f t="shared" si="1"/>
        <v>Field 3</v>
      </c>
      <c r="V6" s="76">
        <f t="shared" si="1"/>
        <v>15.6</v>
      </c>
      <c r="W6" s="7">
        <f t="shared" si="1"/>
        <v>17.7</v>
      </c>
      <c r="X6" s="7">
        <f t="shared" si="1"/>
        <v>6.1</v>
      </c>
      <c r="Y6" s="7">
        <f t="shared" si="1"/>
        <v>3.9999999999999996</v>
      </c>
      <c r="Z6" s="7">
        <f t="shared" si="1"/>
        <v>3.1</v>
      </c>
      <c r="AA6" s="35">
        <f t="shared" si="1"/>
        <v>4.0999999999999996</v>
      </c>
      <c r="AB6">
        <f>AVERAGE(V6:AA6)</f>
        <v>8.4333333333333336</v>
      </c>
      <c r="AD6" t="s">
        <v>47</v>
      </c>
      <c r="AE6">
        <f>(AF5+1)*DEVSQ(V8:AA8)</f>
        <v>607.63233333333324</v>
      </c>
      <c r="AF6">
        <f>COUNT(V4:AA4)-1</f>
        <v>5</v>
      </c>
      <c r="AG6">
        <f>AE6/AF6</f>
        <v>121.52646666666665</v>
      </c>
      <c r="AH6">
        <f>AG6/AG7</f>
        <v>48.977592090061307</v>
      </c>
      <c r="AI6">
        <f>FDIST(AH6,AF6,AF7)</f>
        <v>9.2188563088117733E-9</v>
      </c>
      <c r="AJ6">
        <f>FINV(AI3,AF6,AF7)</f>
        <v>2.9012945362361564</v>
      </c>
    </row>
    <row r="7" spans="1:36" x14ac:dyDescent="0.25">
      <c r="A7" t="s">
        <v>656</v>
      </c>
      <c r="B7" s="190">
        <v>7.1</v>
      </c>
      <c r="C7" s="347">
        <v>11.8</v>
      </c>
      <c r="D7" s="347">
        <v>1.7</v>
      </c>
      <c r="E7" s="347">
        <v>0.5</v>
      </c>
      <c r="F7" s="347">
        <v>0.8</v>
      </c>
      <c r="G7" s="215">
        <v>0.2</v>
      </c>
      <c r="H7" s="21">
        <f>SUM(B7:G7)</f>
        <v>22.099999999999998</v>
      </c>
      <c r="M7" t="s">
        <v>656</v>
      </c>
      <c r="N7" s="190">
        <v>7.1</v>
      </c>
      <c r="O7" s="347">
        <v>11.8</v>
      </c>
      <c r="P7" s="347">
        <v>1.7</v>
      </c>
      <c r="Q7" s="347">
        <v>0.5</v>
      </c>
      <c r="R7" s="347">
        <v>0.8</v>
      </c>
      <c r="S7" s="215">
        <v>0.2</v>
      </c>
      <c r="U7" t="str">
        <f t="shared" si="1"/>
        <v>Field 4</v>
      </c>
      <c r="V7" s="348">
        <f t="shared" si="1"/>
        <v>7.1</v>
      </c>
      <c r="W7" s="349">
        <f t="shared" si="1"/>
        <v>11.8</v>
      </c>
      <c r="X7" s="349">
        <f t="shared" si="1"/>
        <v>1.7</v>
      </c>
      <c r="Y7" s="349">
        <f t="shared" si="1"/>
        <v>0.5</v>
      </c>
      <c r="Z7" s="349">
        <f t="shared" si="1"/>
        <v>0.8</v>
      </c>
      <c r="AA7" s="350">
        <f t="shared" si="1"/>
        <v>0.2</v>
      </c>
      <c r="AB7">
        <f>AVERAGE(V7:AA7)</f>
        <v>3.6833333333333331</v>
      </c>
      <c r="AD7" t="s">
        <v>122</v>
      </c>
      <c r="AE7">
        <f>AE8-AE5-AE6</f>
        <v>37.219000000000165</v>
      </c>
      <c r="AF7">
        <f>AF8-AF5-AF6</f>
        <v>15</v>
      </c>
      <c r="AG7">
        <f>AE7/AF7</f>
        <v>2.4812666666666776</v>
      </c>
    </row>
    <row r="8" spans="1:36" x14ac:dyDescent="0.25">
      <c r="B8" s="37">
        <f t="shared" ref="B8:G8" si="2">SUM(B4:B7)</f>
        <v>45.400000000000006</v>
      </c>
      <c r="C8" s="37">
        <f t="shared" si="2"/>
        <v>68.899999999999991</v>
      </c>
      <c r="D8" s="37">
        <f t="shared" si="2"/>
        <v>16.100000000000001</v>
      </c>
      <c r="E8" s="37">
        <f t="shared" si="2"/>
        <v>16.8</v>
      </c>
      <c r="F8" s="37">
        <f t="shared" si="2"/>
        <v>15.799999999999999</v>
      </c>
      <c r="G8" s="37">
        <f t="shared" si="2"/>
        <v>13.7</v>
      </c>
      <c r="H8" s="21">
        <f>SUM(B8:G8)</f>
        <v>176.70000000000002</v>
      </c>
      <c r="U8" t="s">
        <v>8</v>
      </c>
      <c r="V8">
        <f>AVERAGE(V4:V7)</f>
        <v>11.350000000000001</v>
      </c>
      <c r="W8">
        <f t="shared" ref="W8:AB8" si="3">AVERAGE(W4:W7)</f>
        <v>17.224999999999998</v>
      </c>
      <c r="X8">
        <f t="shared" si="3"/>
        <v>5.89</v>
      </c>
      <c r="Y8">
        <f t="shared" si="3"/>
        <v>4.2</v>
      </c>
      <c r="Z8">
        <f t="shared" si="3"/>
        <v>3.9499999999999997</v>
      </c>
      <c r="AA8">
        <f t="shared" si="3"/>
        <v>3.4249999999999998</v>
      </c>
      <c r="AB8">
        <f t="shared" si="3"/>
        <v>7.6733333333333338</v>
      </c>
      <c r="AD8" t="s">
        <v>1</v>
      </c>
      <c r="AE8">
        <f>DEVSQ(V4:AA7)</f>
        <v>775.16053333333343</v>
      </c>
      <c r="AF8">
        <f>(AF5+1)*(AF6+1)-1</f>
        <v>23</v>
      </c>
    </row>
    <row r="9" spans="1:36" x14ac:dyDescent="0.25">
      <c r="B9" s="7"/>
      <c r="C9" s="7"/>
      <c r="D9" s="7"/>
      <c r="E9" s="7"/>
      <c r="F9" s="7"/>
      <c r="G9" s="7"/>
      <c r="U9" t="s">
        <v>48</v>
      </c>
      <c r="V9">
        <f>VAR(V4:V7)</f>
        <v>13.856666666666646</v>
      </c>
      <c r="W9">
        <f t="shared" ref="W9:AB9" si="4">VAR(W4:W7)</f>
        <v>14.135833333333343</v>
      </c>
      <c r="X9">
        <f t="shared" si="4"/>
        <v>8.6243999999999996</v>
      </c>
      <c r="Y9">
        <f t="shared" si="4"/>
        <v>7.1266666666666652</v>
      </c>
      <c r="Z9">
        <f t="shared" si="4"/>
        <v>6.5900000000000007</v>
      </c>
      <c r="AA9">
        <f t="shared" si="4"/>
        <v>5.5091666666666681</v>
      </c>
      <c r="AB9">
        <f t="shared" si="4"/>
        <v>7.2394000000000078</v>
      </c>
      <c r="AD9" s="351"/>
      <c r="AE9" s="351"/>
      <c r="AF9" s="351"/>
      <c r="AG9" s="351"/>
      <c r="AH9" s="351"/>
      <c r="AI9" s="351"/>
      <c r="AJ9" s="35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AT39"/>
  <sheetViews>
    <sheetView workbookViewId="0"/>
  </sheetViews>
  <sheetFormatPr defaultRowHeight="15" x14ac:dyDescent="0.25"/>
  <cols>
    <col min="1" max="1" width="9.140625" customWidth="1"/>
    <col min="2" max="7" width="7.28515625" customWidth="1"/>
    <col min="8" max="8" width="6.140625" customWidth="1"/>
    <col min="9" max="9" width="4.140625" customWidth="1"/>
    <col min="10" max="11" width="4" customWidth="1"/>
    <col min="12" max="12" width="5.5703125" customWidth="1"/>
    <col min="13" max="13" width="9.140625" customWidth="1"/>
    <col min="14" max="19" width="6" customWidth="1"/>
    <col min="20" max="20" width="9.140625" customWidth="1"/>
    <col min="30" max="30" width="9.140625" customWidth="1"/>
    <col min="32" max="32" width="9.140625" customWidth="1"/>
  </cols>
  <sheetData>
    <row r="1" spans="1:36" x14ac:dyDescent="0.25">
      <c r="A1" s="1" t="s">
        <v>793</v>
      </c>
      <c r="U1" t="s">
        <v>99</v>
      </c>
      <c r="AD1" t="s">
        <v>663</v>
      </c>
    </row>
    <row r="3" spans="1:36" ht="15.75" thickBot="1" x14ac:dyDescent="0.3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N3">
        <v>5</v>
      </c>
      <c r="O3">
        <f>N3+5</f>
        <v>10</v>
      </c>
      <c r="P3">
        <f>O3+5</f>
        <v>15</v>
      </c>
      <c r="Q3">
        <f>P3+5</f>
        <v>20</v>
      </c>
      <c r="R3">
        <f>Q3+5</f>
        <v>25</v>
      </c>
      <c r="S3">
        <f>R3+5</f>
        <v>30</v>
      </c>
      <c r="U3" t="str">
        <f>IF(M3="","",M3)</f>
        <v/>
      </c>
      <c r="V3">
        <f t="shared" ref="V3:AA3" si="0">N3</f>
        <v>5</v>
      </c>
      <c r="W3">
        <f t="shared" si="0"/>
        <v>10</v>
      </c>
      <c r="X3">
        <f t="shared" si="0"/>
        <v>15</v>
      </c>
      <c r="Y3">
        <f t="shared" si="0"/>
        <v>20</v>
      </c>
      <c r="Z3">
        <f t="shared" si="0"/>
        <v>25</v>
      </c>
      <c r="AA3">
        <f t="shared" si="0"/>
        <v>30</v>
      </c>
      <c r="AB3" s="341" t="s">
        <v>8</v>
      </c>
      <c r="AD3" t="s">
        <v>84</v>
      </c>
      <c r="AH3" t="s">
        <v>17</v>
      </c>
      <c r="AI3">
        <v>0.05</v>
      </c>
    </row>
    <row r="4" spans="1:36" ht="15.75" thickTop="1" x14ac:dyDescent="0.25">
      <c r="A4" t="s">
        <v>653</v>
      </c>
      <c r="B4" s="342">
        <v>9.7000000000000011</v>
      </c>
      <c r="C4" s="343"/>
      <c r="D4" s="343">
        <v>8.3000000000000007</v>
      </c>
      <c r="E4" s="343">
        <v>6.3</v>
      </c>
      <c r="F4" s="343">
        <v>6.7</v>
      </c>
      <c r="G4" s="344">
        <v>5.8</v>
      </c>
      <c r="H4" s="21">
        <f>SUM(B4:G4)</f>
        <v>36.799999999999997</v>
      </c>
      <c r="J4" t="s">
        <v>63</v>
      </c>
      <c r="K4" s="320">
        <f>COUNTA(A4:A7)</f>
        <v>4</v>
      </c>
      <c r="M4" t="s">
        <v>653</v>
      </c>
      <c r="N4" s="342">
        <v>9.7000000000000011</v>
      </c>
      <c r="O4" s="352">
        <f>(H4*K4+C8*K5-H8)/((K4-1)*(K5-1))</f>
        <v>18.766666666666666</v>
      </c>
      <c r="P4" s="343">
        <v>8.3000000000000007</v>
      </c>
      <c r="Q4" s="343">
        <v>6.3</v>
      </c>
      <c r="R4" s="343">
        <v>6.7</v>
      </c>
      <c r="S4" s="344">
        <v>5.8</v>
      </c>
      <c r="U4" t="str">
        <f t="shared" ref="U4:AA7" si="1">M4</f>
        <v>Field 1</v>
      </c>
      <c r="V4" s="301">
        <f t="shared" si="1"/>
        <v>9.7000000000000011</v>
      </c>
      <c r="W4" s="345">
        <f t="shared" si="1"/>
        <v>18.766666666666666</v>
      </c>
      <c r="X4" s="345">
        <f t="shared" si="1"/>
        <v>8.3000000000000007</v>
      </c>
      <c r="Y4" s="345">
        <f t="shared" si="1"/>
        <v>6.3</v>
      </c>
      <c r="Z4" s="345">
        <f t="shared" si="1"/>
        <v>6.7</v>
      </c>
      <c r="AA4" s="303">
        <f t="shared" si="1"/>
        <v>5.8</v>
      </c>
      <c r="AB4">
        <f>AVERAGE(V4:AA4)</f>
        <v>9.2611111111111111</v>
      </c>
      <c r="AD4" s="191" t="s">
        <v>100</v>
      </c>
      <c r="AE4" s="191" t="s">
        <v>76</v>
      </c>
      <c r="AF4" s="191" t="s">
        <v>37</v>
      </c>
      <c r="AG4" s="191" t="s">
        <v>78</v>
      </c>
      <c r="AH4" s="191" t="s">
        <v>68</v>
      </c>
      <c r="AI4" s="191" t="s">
        <v>101</v>
      </c>
      <c r="AJ4" s="191" t="s">
        <v>102</v>
      </c>
    </row>
    <row r="5" spans="1:36" x14ac:dyDescent="0.25">
      <c r="A5" t="s">
        <v>654</v>
      </c>
      <c r="B5" s="165">
        <v>13</v>
      </c>
      <c r="C5" s="37">
        <v>20.2</v>
      </c>
      <c r="D5" s="37">
        <v>6.4</v>
      </c>
      <c r="E5" s="37">
        <v>6</v>
      </c>
      <c r="F5" s="37">
        <v>5.1999999999999993</v>
      </c>
      <c r="G5" s="214">
        <v>3.6</v>
      </c>
      <c r="H5" s="21">
        <f>SUM(B5:G5)</f>
        <v>54.4</v>
      </c>
      <c r="J5" t="s">
        <v>23</v>
      </c>
      <c r="K5" s="58">
        <f>COUNTA(B3:G3)</f>
        <v>6</v>
      </c>
      <c r="M5" t="s">
        <v>654</v>
      </c>
      <c r="N5" s="165">
        <v>13</v>
      </c>
      <c r="O5" s="37">
        <v>20.2</v>
      </c>
      <c r="P5" s="346">
        <v>6.4</v>
      </c>
      <c r="Q5" s="37">
        <v>6</v>
      </c>
      <c r="R5" s="37">
        <v>5.1999999999999993</v>
      </c>
      <c r="S5" s="214">
        <v>3.6</v>
      </c>
      <c r="U5" t="str">
        <f t="shared" si="1"/>
        <v>Field 2</v>
      </c>
      <c r="V5" s="76">
        <f t="shared" si="1"/>
        <v>13</v>
      </c>
      <c r="W5" s="7">
        <f t="shared" si="1"/>
        <v>20.2</v>
      </c>
      <c r="X5" s="7">
        <f t="shared" si="1"/>
        <v>6.4</v>
      </c>
      <c r="Y5" s="7">
        <f t="shared" si="1"/>
        <v>6</v>
      </c>
      <c r="Z5" s="7">
        <f t="shared" si="1"/>
        <v>5.1999999999999993</v>
      </c>
      <c r="AA5" s="35">
        <f t="shared" si="1"/>
        <v>3.6</v>
      </c>
      <c r="AB5">
        <f>AVERAGE(V5:AA5)</f>
        <v>9.0666666666666664</v>
      </c>
      <c r="AD5" t="s">
        <v>658</v>
      </c>
      <c r="AE5">
        <f>(AF6+1)*DEVSQ(AB4:AB7)</f>
        <v>125.66777777777779</v>
      </c>
      <c r="AF5">
        <f>COUNT(V4:V7)-1</f>
        <v>3</v>
      </c>
      <c r="AG5">
        <f>AE5/AF5</f>
        <v>41.889259259259262</v>
      </c>
      <c r="AH5">
        <f>AG5/AG7</f>
        <v>16.621011947624492</v>
      </c>
      <c r="AI5">
        <f>FDIST(AH5,AF5,AF7)</f>
        <v>4.9190388834920948E-5</v>
      </c>
      <c r="AJ5">
        <f>FINV(AI3,AF5,AF7)</f>
        <v>3.2873821046365093</v>
      </c>
    </row>
    <row r="6" spans="1:36" x14ac:dyDescent="0.25">
      <c r="A6" t="s">
        <v>655</v>
      </c>
      <c r="B6" s="165">
        <v>15.6</v>
      </c>
      <c r="C6" s="37">
        <v>17.7</v>
      </c>
      <c r="D6" s="37">
        <v>6.1</v>
      </c>
      <c r="E6" s="37">
        <v>3.9999999999999996</v>
      </c>
      <c r="F6" s="37">
        <v>3.1</v>
      </c>
      <c r="G6" s="214">
        <v>4.0999999999999996</v>
      </c>
      <c r="H6" s="21">
        <f>SUM(B6:G6)</f>
        <v>50.6</v>
      </c>
      <c r="M6" t="s">
        <v>655</v>
      </c>
      <c r="N6" s="165">
        <v>15.6</v>
      </c>
      <c r="O6" s="37">
        <v>17.7</v>
      </c>
      <c r="P6" s="37">
        <v>6.1</v>
      </c>
      <c r="Q6" s="37">
        <v>3.9999999999999996</v>
      </c>
      <c r="R6" s="37">
        <v>3.1</v>
      </c>
      <c r="S6" s="214">
        <v>4.0999999999999996</v>
      </c>
      <c r="U6" t="str">
        <f t="shared" si="1"/>
        <v>Field 3</v>
      </c>
      <c r="V6" s="76">
        <f t="shared" si="1"/>
        <v>15.6</v>
      </c>
      <c r="W6" s="7">
        <f t="shared" si="1"/>
        <v>17.7</v>
      </c>
      <c r="X6" s="7">
        <f t="shared" si="1"/>
        <v>6.1</v>
      </c>
      <c r="Y6" s="7">
        <f t="shared" si="1"/>
        <v>3.9999999999999996</v>
      </c>
      <c r="Z6" s="7">
        <f t="shared" si="1"/>
        <v>3.1</v>
      </c>
      <c r="AA6" s="35">
        <f t="shared" si="1"/>
        <v>4.0999999999999996</v>
      </c>
      <c r="AB6">
        <f>AVERAGE(V6:AA6)</f>
        <v>8.4333333333333336</v>
      </c>
      <c r="AD6" t="s">
        <v>47</v>
      </c>
      <c r="AE6">
        <f>(AF5+1)*DEVSQ(V8:AA8)</f>
        <v>603.36981481481496</v>
      </c>
      <c r="AF6">
        <f>COUNT(V4:AA4)-1</f>
        <v>5</v>
      </c>
      <c r="AG6">
        <f>AE6/AF6</f>
        <v>120.67396296296299</v>
      </c>
      <c r="AH6">
        <f>AG6/AG7</f>
        <v>47.881567152115622</v>
      </c>
      <c r="AI6">
        <f>FDIST(AH6,AF6,AF7)</f>
        <v>1.0797954995315338E-8</v>
      </c>
      <c r="AJ6">
        <f>FINV(AI3,AF6,AF7)</f>
        <v>2.9012945362361564</v>
      </c>
    </row>
    <row r="7" spans="1:36" x14ac:dyDescent="0.25">
      <c r="A7" t="s">
        <v>656</v>
      </c>
      <c r="B7" s="190">
        <v>7.1</v>
      </c>
      <c r="C7" s="347">
        <v>11.8</v>
      </c>
      <c r="D7" s="347">
        <v>1.7</v>
      </c>
      <c r="E7" s="347">
        <v>0.5</v>
      </c>
      <c r="F7" s="347">
        <v>0.8</v>
      </c>
      <c r="G7" s="215">
        <v>0.2</v>
      </c>
      <c r="H7" s="21">
        <f>SUM(B7:G7)</f>
        <v>22.099999999999998</v>
      </c>
      <c r="M7" t="s">
        <v>656</v>
      </c>
      <c r="N7" s="190">
        <v>7.1</v>
      </c>
      <c r="O7" s="347">
        <v>11.8</v>
      </c>
      <c r="P7" s="347">
        <v>1.7</v>
      </c>
      <c r="Q7" s="347">
        <v>0.5</v>
      </c>
      <c r="R7" s="347">
        <v>0.8</v>
      </c>
      <c r="S7" s="215">
        <v>0.2</v>
      </c>
      <c r="U7" t="str">
        <f t="shared" si="1"/>
        <v>Field 4</v>
      </c>
      <c r="V7" s="348">
        <f t="shared" si="1"/>
        <v>7.1</v>
      </c>
      <c r="W7" s="349">
        <f t="shared" si="1"/>
        <v>11.8</v>
      </c>
      <c r="X7" s="349">
        <f t="shared" si="1"/>
        <v>1.7</v>
      </c>
      <c r="Y7" s="349">
        <f t="shared" si="1"/>
        <v>0.5</v>
      </c>
      <c r="Z7" s="349">
        <f t="shared" si="1"/>
        <v>0.8</v>
      </c>
      <c r="AA7" s="350">
        <f t="shared" si="1"/>
        <v>0.2</v>
      </c>
      <c r="AB7">
        <f>AVERAGE(V7:AA7)</f>
        <v>3.6833333333333331</v>
      </c>
      <c r="AD7" t="s">
        <v>122</v>
      </c>
      <c r="AE7">
        <f>AE8-AE5-AE6</f>
        <v>37.803888888888764</v>
      </c>
      <c r="AF7">
        <f>AF8-AF5-AF6</f>
        <v>15</v>
      </c>
      <c r="AG7">
        <f>AE7/AF7</f>
        <v>2.5202592592592508</v>
      </c>
    </row>
    <row r="8" spans="1:36" x14ac:dyDescent="0.25">
      <c r="B8" s="37">
        <f t="shared" ref="B8:G8" si="2">SUM(B4:B7)</f>
        <v>45.400000000000006</v>
      </c>
      <c r="C8" s="37">
        <f t="shared" si="2"/>
        <v>49.7</v>
      </c>
      <c r="D8" s="37">
        <f t="shared" si="2"/>
        <v>22.5</v>
      </c>
      <c r="E8" s="37">
        <f t="shared" si="2"/>
        <v>16.8</v>
      </c>
      <c r="F8" s="37">
        <f t="shared" si="2"/>
        <v>15.799999999999999</v>
      </c>
      <c r="G8" s="37">
        <f t="shared" si="2"/>
        <v>13.7</v>
      </c>
      <c r="H8" s="21">
        <f>SUM(B8:G8)</f>
        <v>163.9</v>
      </c>
      <c r="U8" t="s">
        <v>8</v>
      </c>
      <c r="V8">
        <f>AVERAGE(V4:V7)</f>
        <v>11.350000000000001</v>
      </c>
      <c r="W8">
        <f t="shared" ref="W8:AB8" si="3">AVERAGE(W4:W7)</f>
        <v>17.116666666666667</v>
      </c>
      <c r="X8">
        <f t="shared" si="3"/>
        <v>5.625</v>
      </c>
      <c r="Y8">
        <f t="shared" si="3"/>
        <v>4.2</v>
      </c>
      <c r="Z8">
        <f t="shared" si="3"/>
        <v>3.9499999999999997</v>
      </c>
      <c r="AA8">
        <f t="shared" si="3"/>
        <v>3.4249999999999998</v>
      </c>
      <c r="AB8">
        <f t="shared" si="3"/>
        <v>7.6111111111111107</v>
      </c>
      <c r="AD8" t="s">
        <v>1</v>
      </c>
      <c r="AE8">
        <f>DEVSQ(V4:AA7)</f>
        <v>766.84148148148154</v>
      </c>
      <c r="AF8">
        <f>(AF5+1)*(AF6+1)-1</f>
        <v>23</v>
      </c>
    </row>
    <row r="9" spans="1:36" ht="15.75" thickBot="1" x14ac:dyDescent="0.3">
      <c r="B9" s="7"/>
      <c r="C9" s="7"/>
      <c r="D9" s="7"/>
      <c r="E9" s="7"/>
      <c r="F9" s="7"/>
      <c r="G9" s="7"/>
      <c r="U9" t="s">
        <v>48</v>
      </c>
      <c r="V9">
        <f>VAR(V4:V7)</f>
        <v>13.856666666666646</v>
      </c>
      <c r="W9">
        <f t="shared" ref="W9:AB9" si="4">VAR(W4:W7)</f>
        <v>13.612222222222121</v>
      </c>
      <c r="X9">
        <f t="shared" si="4"/>
        <v>7.7958333333333298</v>
      </c>
      <c r="Y9">
        <f t="shared" si="4"/>
        <v>7.1266666666666652</v>
      </c>
      <c r="Z9">
        <f t="shared" si="4"/>
        <v>6.5900000000000007</v>
      </c>
      <c r="AA9">
        <f t="shared" si="4"/>
        <v>5.5091666666666681</v>
      </c>
      <c r="AB9">
        <f t="shared" si="4"/>
        <v>6.9815432098765582</v>
      </c>
      <c r="AD9" s="304"/>
      <c r="AE9" s="304"/>
      <c r="AF9" s="304"/>
      <c r="AG9" s="304"/>
      <c r="AH9" s="304"/>
      <c r="AI9" s="304"/>
      <c r="AJ9" s="304"/>
    </row>
    <row r="10" spans="1:36" ht="15.75" thickTop="1" x14ac:dyDescent="0.25">
      <c r="AD10" s="191" t="s">
        <v>100</v>
      </c>
      <c r="AE10" s="191" t="s">
        <v>76</v>
      </c>
    </row>
    <row r="11" spans="1:36" x14ac:dyDescent="0.25">
      <c r="AD11" t="s">
        <v>658</v>
      </c>
      <c r="AE11">
        <f>(C8-(K4-1)*O4)^2/(K4*(K4-1))</f>
        <v>3.6299999999999937</v>
      </c>
    </row>
    <row r="12" spans="1:36" x14ac:dyDescent="0.25">
      <c r="AD12" s="353" t="s">
        <v>47</v>
      </c>
      <c r="AE12" s="353">
        <f>(H4-(K5-1)*O4)^2/(K5*(K5-1))</f>
        <v>108.42670370370369</v>
      </c>
    </row>
    <row r="14" spans="1:36" ht="15.75" thickBot="1" x14ac:dyDescent="0.3">
      <c r="AD14" t="s">
        <v>84</v>
      </c>
      <c r="AH14" t="s">
        <v>17</v>
      </c>
      <c r="AI14">
        <v>0.05</v>
      </c>
    </row>
    <row r="15" spans="1:36" ht="15.75" thickTop="1" x14ac:dyDescent="0.25">
      <c r="B15" s="7"/>
      <c r="C15" s="7"/>
      <c r="D15" s="7"/>
      <c r="E15" s="7"/>
      <c r="F15" s="7"/>
      <c r="G15" s="7"/>
      <c r="AD15" s="191" t="s">
        <v>100</v>
      </c>
      <c r="AE15" s="191" t="s">
        <v>76</v>
      </c>
      <c r="AF15" s="191" t="s">
        <v>37</v>
      </c>
      <c r="AG15" s="191" t="s">
        <v>78</v>
      </c>
      <c r="AH15" s="191" t="s">
        <v>68</v>
      </c>
      <c r="AI15" s="191" t="s">
        <v>101</v>
      </c>
      <c r="AJ15" s="191" t="s">
        <v>102</v>
      </c>
    </row>
    <row r="16" spans="1:36" x14ac:dyDescent="0.25">
      <c r="AD16" t="s">
        <v>658</v>
      </c>
      <c r="AE16">
        <f>AE5-AE11</f>
        <v>122.03777777777779</v>
      </c>
      <c r="AF16">
        <f>AF5</f>
        <v>3</v>
      </c>
      <c r="AG16">
        <f>AE16/AF16</f>
        <v>40.679259259259261</v>
      </c>
      <c r="AH16">
        <f>AG16/AG18</f>
        <v>15.064842437335031</v>
      </c>
      <c r="AI16">
        <f>FDIST(AH16,AF16,AF18)</f>
        <v>1.1580790306764293E-4</v>
      </c>
      <c r="AJ16">
        <f>FINV(AI14,AF16,AF18)</f>
        <v>3.3438886781189128</v>
      </c>
    </row>
    <row r="17" spans="21:46" x14ac:dyDescent="0.25">
      <c r="AD17" t="s">
        <v>47</v>
      </c>
      <c r="AE17">
        <f>AE6-AE12</f>
        <v>494.94311111111125</v>
      </c>
      <c r="AF17">
        <f>AF6</f>
        <v>5</v>
      </c>
      <c r="AG17">
        <f>AE17/AF17</f>
        <v>98.988622222222247</v>
      </c>
      <c r="AH17">
        <f>AG17/AG18</f>
        <v>36.658681205637414</v>
      </c>
      <c r="AI17">
        <f>FDIST(AH17,AF17,AF18)</f>
        <v>1.4652353746727627E-7</v>
      </c>
      <c r="AJ17">
        <f>FINV(AI14,AF17,AF18)</f>
        <v>2.9582489131221967</v>
      </c>
    </row>
    <row r="18" spans="21:46" x14ac:dyDescent="0.25">
      <c r="AD18" t="s">
        <v>122</v>
      </c>
      <c r="AE18">
        <f>AE7</f>
        <v>37.803888888888764</v>
      </c>
      <c r="AF18">
        <f>AF19-AF16-AF17</f>
        <v>14</v>
      </c>
      <c r="AG18">
        <f>AE18/AF18</f>
        <v>2.7002777777777687</v>
      </c>
    </row>
    <row r="19" spans="21:46" x14ac:dyDescent="0.25">
      <c r="AD19" s="353" t="s">
        <v>1</v>
      </c>
      <c r="AE19" s="353">
        <f>SUM(AE16:AE18)</f>
        <v>654.78477777777778</v>
      </c>
      <c r="AF19" s="353">
        <f>AF8-1</f>
        <v>22</v>
      </c>
      <c r="AG19" s="353"/>
      <c r="AH19" s="353"/>
      <c r="AI19" s="353"/>
      <c r="AJ19" s="353"/>
    </row>
    <row r="22" spans="21:46" ht="15.75" thickBot="1" x14ac:dyDescent="0.3">
      <c r="U22" t="s">
        <v>99</v>
      </c>
      <c r="W22" t="s">
        <v>791</v>
      </c>
      <c r="X22" s="314">
        <f>ROWS(B4:G7)*COLUMNS(B4:G7)-COUNT(B4:G7)</f>
        <v>1</v>
      </c>
      <c r="AL22" t="s">
        <v>660</v>
      </c>
    </row>
    <row r="23" spans="21:46" ht="15.75" thickTop="1" x14ac:dyDescent="0.25">
      <c r="AL23" s="191" t="s">
        <v>47</v>
      </c>
      <c r="AM23" s="191" t="s">
        <v>23</v>
      </c>
      <c r="AN23" s="191" t="s">
        <v>6</v>
      </c>
      <c r="AO23" s="191" t="s">
        <v>16</v>
      </c>
    </row>
    <row r="24" spans="21:46" x14ac:dyDescent="0.25">
      <c r="U24" t="str">
        <f>IF(A3="","",A3)</f>
        <v/>
      </c>
      <c r="V24">
        <f t="shared" ref="V24:AA24" si="5">B3</f>
        <v>5</v>
      </c>
      <c r="W24">
        <f t="shared" si="5"/>
        <v>10</v>
      </c>
      <c r="X24">
        <f t="shared" si="5"/>
        <v>15</v>
      </c>
      <c r="Y24">
        <f t="shared" si="5"/>
        <v>20</v>
      </c>
      <c r="Z24">
        <f t="shared" si="5"/>
        <v>25</v>
      </c>
      <c r="AA24">
        <f t="shared" si="5"/>
        <v>30</v>
      </c>
      <c r="AB24" s="341" t="s">
        <v>8</v>
      </c>
      <c r="AL24" s="304">
        <f t="array" ref="AL24:AL29">TRANSPOSE(B3:G3)</f>
        <v>5</v>
      </c>
      <c r="AM24" s="305"/>
      <c r="AN24" s="354">
        <f>AVERAGE(B4:B7)</f>
        <v>11.350000000000001</v>
      </c>
      <c r="AO24" s="304">
        <f>COUNT(B4:B7)</f>
        <v>4</v>
      </c>
    </row>
    <row r="25" spans="21:46" x14ac:dyDescent="0.25">
      <c r="U25" t="str">
        <f t="shared" ref="U25:U28" si="6">A4</f>
        <v>Field 1</v>
      </c>
      <c r="V25" s="301" t="e">
        <f t="array" aca="1" ref="V25:AA28" ca="1">RCBDMissing(B4:G7)</f>
        <v>#NAME?</v>
      </c>
      <c r="W25" s="345" t="e">
        <f ca="1"/>
        <v>#NAME?</v>
      </c>
      <c r="X25" s="345" t="e">
        <f ca="1"/>
        <v>#NAME?</v>
      </c>
      <c r="Y25" s="345" t="e">
        <f ca="1"/>
        <v>#NAME?</v>
      </c>
      <c r="Z25" s="345" t="e">
        <f ca="1"/>
        <v>#NAME?</v>
      </c>
      <c r="AA25" s="303" t="e">
        <f ca="1"/>
        <v>#NAME?</v>
      </c>
      <c r="AB25" t="e">
        <f ca="1">AVERAGE(V25:AA25)</f>
        <v>#NAME?</v>
      </c>
      <c r="AL25" s="7">
        <v>10</v>
      </c>
      <c r="AM25" s="257">
        <v>1</v>
      </c>
      <c r="AN25" s="37">
        <f>AVERAGE(C4:C7)</f>
        <v>16.566666666666666</v>
      </c>
      <c r="AO25" s="7">
        <f>COUNT(C4:C7)</f>
        <v>3</v>
      </c>
    </row>
    <row r="26" spans="21:46" x14ac:dyDescent="0.25">
      <c r="U26" t="str">
        <f t="shared" si="6"/>
        <v>Field 2</v>
      </c>
      <c r="V26" s="76" t="e">
        <f ca="1"/>
        <v>#NAME?</v>
      </c>
      <c r="W26" s="7" t="e">
        <f ca="1"/>
        <v>#NAME?</v>
      </c>
      <c r="X26" s="7" t="e">
        <f ca="1"/>
        <v>#NAME?</v>
      </c>
      <c r="Y26" s="7" t="e">
        <f ca="1"/>
        <v>#NAME?</v>
      </c>
      <c r="Z26" s="7" t="e">
        <f ca="1"/>
        <v>#NAME?</v>
      </c>
      <c r="AA26" s="35" t="e">
        <f ca="1"/>
        <v>#NAME?</v>
      </c>
      <c r="AB26" t="e">
        <f t="shared" ref="AB26:AB28" ca="1" si="7">AVERAGE(V26:AA26)</f>
        <v>#NAME?</v>
      </c>
      <c r="AL26" s="7">
        <v>15</v>
      </c>
      <c r="AM26" s="257">
        <v>-1</v>
      </c>
      <c r="AN26" s="37">
        <f>AVERAGE(D4:D7)</f>
        <v>5.625</v>
      </c>
      <c r="AO26" s="7">
        <f>COUNT(D4:D7)</f>
        <v>4</v>
      </c>
    </row>
    <row r="27" spans="21:46" x14ac:dyDescent="0.25">
      <c r="U27" t="str">
        <f t="shared" si="6"/>
        <v>Field 3</v>
      </c>
      <c r="V27" s="76" t="e">
        <f ca="1"/>
        <v>#NAME?</v>
      </c>
      <c r="W27" s="7" t="e">
        <f ca="1"/>
        <v>#NAME?</v>
      </c>
      <c r="X27" s="7" t="e">
        <f ca="1"/>
        <v>#NAME?</v>
      </c>
      <c r="Y27" s="7" t="e">
        <f ca="1"/>
        <v>#NAME?</v>
      </c>
      <c r="Z27" s="7" t="e">
        <f ca="1"/>
        <v>#NAME?</v>
      </c>
      <c r="AA27" s="35" t="e">
        <f ca="1"/>
        <v>#NAME?</v>
      </c>
      <c r="AB27" t="e">
        <f t="shared" ca="1" si="7"/>
        <v>#NAME?</v>
      </c>
      <c r="AL27" s="7">
        <v>20</v>
      </c>
      <c r="AM27" s="257"/>
      <c r="AN27" s="37">
        <f>AVERAGE(E4:E7)</f>
        <v>4.2</v>
      </c>
      <c r="AO27" s="7">
        <f>COUNT(E4:E7)</f>
        <v>4</v>
      </c>
    </row>
    <row r="28" spans="21:46" x14ac:dyDescent="0.25">
      <c r="U28" t="str">
        <f t="shared" si="6"/>
        <v>Field 4</v>
      </c>
      <c r="V28" s="348" t="e">
        <f ca="1"/>
        <v>#NAME?</v>
      </c>
      <c r="W28" s="349" t="e">
        <f ca="1"/>
        <v>#NAME?</v>
      </c>
      <c r="X28" s="349" t="e">
        <f ca="1"/>
        <v>#NAME?</v>
      </c>
      <c r="Y28" s="349" t="e">
        <f ca="1"/>
        <v>#NAME?</v>
      </c>
      <c r="Z28" s="349" t="e">
        <f ca="1"/>
        <v>#NAME?</v>
      </c>
      <c r="AA28" s="350" t="e">
        <f ca="1"/>
        <v>#NAME?</v>
      </c>
      <c r="AB28" t="e">
        <f t="shared" ca="1" si="7"/>
        <v>#NAME?</v>
      </c>
      <c r="AL28" s="7">
        <v>25</v>
      </c>
      <c r="AM28" s="257"/>
      <c r="AN28" s="37">
        <f>AVERAGE(F4:F7)</f>
        <v>3.9499999999999997</v>
      </c>
      <c r="AO28" s="7">
        <f>COUNT(F4:F7)</f>
        <v>4</v>
      </c>
    </row>
    <row r="29" spans="21:46" x14ac:dyDescent="0.25">
      <c r="U29" t="s">
        <v>8</v>
      </c>
      <c r="V29" t="e">
        <f ca="1">AVERAGE(V25:V28)</f>
        <v>#NAME?</v>
      </c>
      <c r="W29" t="e">
        <f t="shared" ref="W29:AB29" ca="1" si="8">AVERAGE(W25:W28)</f>
        <v>#NAME?</v>
      </c>
      <c r="X29" t="e">
        <f t="shared" ca="1" si="8"/>
        <v>#NAME?</v>
      </c>
      <c r="Y29" t="e">
        <f t="shared" ca="1" si="8"/>
        <v>#NAME?</v>
      </c>
      <c r="Z29" t="e">
        <f t="shared" ca="1" si="8"/>
        <v>#NAME?</v>
      </c>
      <c r="AA29" t="e">
        <f t="shared" ca="1" si="8"/>
        <v>#NAME?</v>
      </c>
      <c r="AB29" t="e">
        <f t="shared" ca="1" si="8"/>
        <v>#NAME?</v>
      </c>
      <c r="AL29" s="353">
        <v>30</v>
      </c>
      <c r="AM29" s="355"/>
      <c r="AN29" s="356">
        <f>AVERAGE(G4:G7)</f>
        <v>3.4249999999999998</v>
      </c>
      <c r="AO29" s="353">
        <f>COUNT(G4:G7)</f>
        <v>4</v>
      </c>
    </row>
    <row r="30" spans="21:46" x14ac:dyDescent="0.25">
      <c r="U30" t="s">
        <v>48</v>
      </c>
      <c r="V30" t="e">
        <f ca="1">VAR(V25:V28)</f>
        <v>#NAME?</v>
      </c>
      <c r="W30" t="e">
        <f t="shared" ref="W30:AB30" ca="1" si="9">VAR(W25:W28)</f>
        <v>#NAME?</v>
      </c>
      <c r="X30" t="e">
        <f t="shared" ca="1" si="9"/>
        <v>#NAME?</v>
      </c>
      <c r="Y30" t="e">
        <f t="shared" ca="1" si="9"/>
        <v>#NAME?</v>
      </c>
      <c r="Z30" t="e">
        <f t="shared" ca="1" si="9"/>
        <v>#NAME?</v>
      </c>
      <c r="AA30" t="e">
        <f t="shared" ca="1" si="9"/>
        <v>#NAME?</v>
      </c>
      <c r="AB30" t="e">
        <f t="shared" ca="1" si="9"/>
        <v>#NAME?</v>
      </c>
      <c r="AM30">
        <f>SUM(AM24:AM29)</f>
        <v>0</v>
      </c>
      <c r="AN30">
        <f>SUMPRODUCT(AM24:AM29,AN24:AN29)</f>
        <v>10.941666666666666</v>
      </c>
      <c r="AO30">
        <f>SUMPRODUCT(ABS(AM24:AM29),AO24:AO29)/SUMPRODUCT(ABS(AM24:AM29))</f>
        <v>3.5</v>
      </c>
    </row>
    <row r="31" spans="21:46" ht="15.75" thickBot="1" x14ac:dyDescent="0.3">
      <c r="AL31" t="s">
        <v>498</v>
      </c>
      <c r="AQ31" t="s">
        <v>17</v>
      </c>
      <c r="AR31">
        <v>0.05</v>
      </c>
    </row>
    <row r="32" spans="21:46" ht="15.75" thickTop="1" x14ac:dyDescent="0.25">
      <c r="U32" t="s">
        <v>663</v>
      </c>
      <c r="AL32" s="191" t="s">
        <v>183</v>
      </c>
      <c r="AM32" s="191" t="s">
        <v>497</v>
      </c>
      <c r="AN32" s="191" t="s">
        <v>37</v>
      </c>
      <c r="AO32" s="191" t="s">
        <v>113</v>
      </c>
      <c r="AP32" s="191" t="s">
        <v>61</v>
      </c>
      <c r="AQ32" s="191" t="s">
        <v>14</v>
      </c>
      <c r="AR32" s="191" t="s">
        <v>15</v>
      </c>
      <c r="AS32" s="191" t="s">
        <v>43</v>
      </c>
      <c r="AT32" s="191" t="s">
        <v>41</v>
      </c>
    </row>
    <row r="33" spans="21:46" x14ac:dyDescent="0.25">
      <c r="AL33" s="357" t="e">
        <f ca="1">SQRT(MSWF(B4:G7,1)/AO30)</f>
        <v>#NAME?</v>
      </c>
      <c r="AM33" s="357" t="e">
        <f ca="1">AN30/AL33</f>
        <v>#NAME?</v>
      </c>
      <c r="AN33" s="357" t="e">
        <f ca="1">dfWF(B4:G7,1)</f>
        <v>#NAME?</v>
      </c>
      <c r="AO33" s="357" t="e">
        <f ca="1">QCRIT(COUNT(AO24:AO29),AN33,AR31,2)</f>
        <v>#NAME?</v>
      </c>
      <c r="AP33" s="357" t="e">
        <f ca="1">AL33*AO33</f>
        <v>#NAME?</v>
      </c>
      <c r="AQ33" s="357" t="e">
        <f ca="1">AN30-AL33*AO33</f>
        <v>#NAME?</v>
      </c>
      <c r="AR33" s="357" t="e">
        <f ca="1">AN30+AL33*AO33</f>
        <v>#NAME?</v>
      </c>
      <c r="AS33" s="357" t="e">
        <f ca="1">QDIST(ABS(AM33),COUNT(AO24:AO29),AN33)</f>
        <v>#NAME?</v>
      </c>
      <c r="AT33" s="357" t="e">
        <f ca="1">ABS(AN30)/(AL33*SQRT(AO30))</f>
        <v>#NAME?</v>
      </c>
    </row>
    <row r="34" spans="21:46" ht="15.75" thickBot="1" x14ac:dyDescent="0.3">
      <c r="U34" t="s">
        <v>84</v>
      </c>
      <c r="Y34" t="s">
        <v>17</v>
      </c>
      <c r="Z34">
        <v>0.05</v>
      </c>
    </row>
    <row r="35" spans="21:46" ht="15.75" thickTop="1" x14ac:dyDescent="0.25">
      <c r="U35" s="191" t="s">
        <v>100</v>
      </c>
      <c r="V35" s="191" t="s">
        <v>76</v>
      </c>
      <c r="W35" s="191" t="s">
        <v>37</v>
      </c>
      <c r="X35" s="191" t="s">
        <v>78</v>
      </c>
      <c r="Y35" s="191" t="s">
        <v>68</v>
      </c>
      <c r="Z35" s="191" t="s">
        <v>101</v>
      </c>
      <c r="AA35" s="191" t="s">
        <v>792</v>
      </c>
    </row>
    <row r="36" spans="21:46" x14ac:dyDescent="0.25">
      <c r="U36" t="s">
        <v>658</v>
      </c>
      <c r="V36" t="e">
        <f ca="1">(W37+1)*DEVSQ(AB25:AB28)-AA36</f>
        <v>#NAME?</v>
      </c>
      <c r="W36">
        <f ca="1">COUNT(V25:V28)-1</f>
        <v>-1</v>
      </c>
      <c r="X36" t="e">
        <f ca="1">V36/W36</f>
        <v>#NAME?</v>
      </c>
      <c r="Y36" t="e">
        <f ca="1">X36/X38</f>
        <v>#NAME?</v>
      </c>
      <c r="Z36" t="e">
        <f ca="1">FDIST(Y36,W36,W38)</f>
        <v>#NAME?</v>
      </c>
      <c r="AA36" t="e">
        <f ca="1">RCBDAdjSS(B4:G7,TRUE)</f>
        <v>#NAME?</v>
      </c>
    </row>
    <row r="37" spans="21:46" x14ac:dyDescent="0.25">
      <c r="U37" t="s">
        <v>47</v>
      </c>
      <c r="V37" t="e">
        <f ca="1">(W36+1)*DEVSQ(V29:AA29)-AA37</f>
        <v>#NAME?</v>
      </c>
      <c r="W37">
        <f ca="1">COUNT(V25:AA25)-1</f>
        <v>-1</v>
      </c>
      <c r="X37" t="e">
        <f ca="1">V37/W37</f>
        <v>#NAME?</v>
      </c>
      <c r="Y37" t="e">
        <f ca="1">X37/X38</f>
        <v>#NAME?</v>
      </c>
      <c r="Z37" t="e">
        <f ca="1">FDIST(Y37,W37,W38)</f>
        <v>#NAME?</v>
      </c>
      <c r="AA37" t="e">
        <f ca="1">RCBDAdjSS(B4:G7,FALSE)</f>
        <v>#NAME?</v>
      </c>
    </row>
    <row r="38" spans="21:46" x14ac:dyDescent="0.25">
      <c r="U38" t="s">
        <v>122</v>
      </c>
      <c r="V38" t="e">
        <f ca="1">V39-V36-V37</f>
        <v>#NAME?</v>
      </c>
      <c r="W38">
        <f ca="1">W39-W36-W37</f>
        <v>0</v>
      </c>
      <c r="X38" t="e">
        <f ca="1">V38/W38</f>
        <v>#NAME?</v>
      </c>
    </row>
    <row r="39" spans="21:46" x14ac:dyDescent="0.25">
      <c r="U39" s="353" t="s">
        <v>1</v>
      </c>
      <c r="V39" s="353" t="e">
        <f ca="1">DEVSQ(V25:AA28)-AA36-AA37</f>
        <v>#NAME?</v>
      </c>
      <c r="W39" s="353">
        <f ca="1">(W36+1)*(W37+1)-1-X22</f>
        <v>-2</v>
      </c>
      <c r="X39" s="353"/>
      <c r="Y39" s="353"/>
      <c r="Z39" s="353"/>
      <c r="AA39" s="35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AZ29"/>
  <sheetViews>
    <sheetView workbookViewId="0"/>
  </sheetViews>
  <sheetFormatPr defaultRowHeight="15" x14ac:dyDescent="0.25"/>
  <cols>
    <col min="1" max="1" width="7.42578125" customWidth="1"/>
    <col min="2" max="7" width="7.28515625" customWidth="1"/>
    <col min="8" max="8" width="4.85546875" customWidth="1"/>
    <col min="9" max="16" width="3.85546875" customWidth="1"/>
    <col min="17" max="17" width="5.85546875" customWidth="1"/>
    <col min="19" max="19" width="16.85546875" customWidth="1"/>
    <col min="28" max="28" width="17.140625" customWidth="1"/>
  </cols>
  <sheetData>
    <row r="1" spans="1:52" x14ac:dyDescent="0.25">
      <c r="A1" s="1" t="s">
        <v>795</v>
      </c>
    </row>
    <row r="2" spans="1:52" x14ac:dyDescent="0.25">
      <c r="I2" s="341" t="s">
        <v>796</v>
      </c>
      <c r="J2" s="341" t="s">
        <v>797</v>
      </c>
      <c r="K2" s="341" t="s">
        <v>798</v>
      </c>
      <c r="L2" s="341" t="s">
        <v>799</v>
      </c>
      <c r="M2" s="341" t="s">
        <v>800</v>
      </c>
      <c r="N2" s="341" t="s">
        <v>801</v>
      </c>
      <c r="O2" s="341" t="s">
        <v>802</v>
      </c>
      <c r="P2" s="341" t="s">
        <v>803</v>
      </c>
      <c r="Q2" s="341" t="s">
        <v>804</v>
      </c>
      <c r="S2" t="s">
        <v>495</v>
      </c>
      <c r="AB2" t="s">
        <v>495</v>
      </c>
      <c r="AK2" t="s">
        <v>99</v>
      </c>
      <c r="AT2" t="s">
        <v>663</v>
      </c>
    </row>
    <row r="3" spans="1:52" x14ac:dyDescent="0.25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I3" s="358">
        <v>0</v>
      </c>
      <c r="J3" s="351">
        <v>0</v>
      </c>
      <c r="K3" s="351">
        <v>0</v>
      </c>
      <c r="L3" s="351">
        <v>0</v>
      </c>
      <c r="M3" s="359">
        <v>0</v>
      </c>
      <c r="N3" s="358">
        <v>0</v>
      </c>
      <c r="O3" s="351">
        <v>0</v>
      </c>
      <c r="P3" s="359">
        <v>0</v>
      </c>
      <c r="Q3" s="344">
        <v>9.7000000000000011</v>
      </c>
    </row>
    <row r="4" spans="1:52" ht="15.75" thickBot="1" x14ac:dyDescent="0.3">
      <c r="A4" t="s">
        <v>653</v>
      </c>
      <c r="B4" s="342">
        <v>9.7000000000000011</v>
      </c>
      <c r="C4" s="343">
        <v>19.2</v>
      </c>
      <c r="D4" s="343">
        <v>8.3000000000000007</v>
      </c>
      <c r="E4" s="343">
        <v>6.3</v>
      </c>
      <c r="F4" s="343">
        <v>6.7</v>
      </c>
      <c r="G4" s="344">
        <v>5.8</v>
      </c>
      <c r="I4" s="107">
        <v>0</v>
      </c>
      <c r="J4" s="7">
        <v>0</v>
      </c>
      <c r="K4" s="7">
        <v>0</v>
      </c>
      <c r="L4" s="7">
        <v>0</v>
      </c>
      <c r="M4" s="108">
        <v>0</v>
      </c>
      <c r="N4" s="107">
        <v>1</v>
      </c>
      <c r="O4" s="23">
        <v>0</v>
      </c>
      <c r="P4" s="108">
        <v>0</v>
      </c>
      <c r="Q4" s="214">
        <v>13</v>
      </c>
      <c r="S4" s="179" t="s">
        <v>496</v>
      </c>
      <c r="T4" s="179"/>
      <c r="V4" s="179"/>
      <c r="W4" s="179"/>
      <c r="AB4" s="179" t="s">
        <v>496</v>
      </c>
      <c r="AC4" s="179"/>
      <c r="AE4" s="179"/>
      <c r="AF4" s="179"/>
      <c r="AK4" t="str">
        <f>IF(A3="","",A3)</f>
        <v/>
      </c>
      <c r="AL4">
        <f t="shared" ref="AL4:AQ8" si="0">B3</f>
        <v>5</v>
      </c>
      <c r="AM4">
        <f t="shared" si="0"/>
        <v>10</v>
      </c>
      <c r="AN4">
        <f t="shared" si="0"/>
        <v>15</v>
      </c>
      <c r="AO4">
        <f t="shared" si="0"/>
        <v>20</v>
      </c>
      <c r="AP4">
        <f t="shared" si="0"/>
        <v>25</v>
      </c>
      <c r="AQ4">
        <f t="shared" si="0"/>
        <v>30</v>
      </c>
      <c r="AR4" s="341" t="s">
        <v>8</v>
      </c>
      <c r="AT4" t="s">
        <v>84</v>
      </c>
      <c r="AX4" t="s">
        <v>17</v>
      </c>
      <c r="AY4">
        <v>0.05</v>
      </c>
    </row>
    <row r="5" spans="1:52" ht="15.75" thickTop="1" x14ac:dyDescent="0.25">
      <c r="A5" t="s">
        <v>654</v>
      </c>
      <c r="B5" s="165">
        <v>13</v>
      </c>
      <c r="C5" s="37">
        <v>20.2</v>
      </c>
      <c r="D5" s="37">
        <v>6.4</v>
      </c>
      <c r="E5" s="37">
        <v>6</v>
      </c>
      <c r="F5" s="37">
        <v>5.1999999999999993</v>
      </c>
      <c r="G5" s="214">
        <v>3.6</v>
      </c>
      <c r="I5" s="107">
        <v>0</v>
      </c>
      <c r="J5" s="7">
        <v>0</v>
      </c>
      <c r="K5" s="7">
        <v>0</v>
      </c>
      <c r="L5" s="7">
        <v>0</v>
      </c>
      <c r="M5" s="108">
        <v>0</v>
      </c>
      <c r="N5" s="107">
        <v>0</v>
      </c>
      <c r="O5" s="23">
        <v>1</v>
      </c>
      <c r="P5" s="108">
        <v>0</v>
      </c>
      <c r="Q5" s="214">
        <v>15.6</v>
      </c>
      <c r="S5" t="s">
        <v>82</v>
      </c>
      <c r="T5" t="e">
        <f ca="1">SQRT(T6)</f>
        <v>#NAME?</v>
      </c>
      <c r="V5" t="s">
        <v>142</v>
      </c>
      <c r="W5" t="e">
        <f ca="1">T9*LN(U14/T9)+2*(T13+1)</f>
        <v>#NAME?</v>
      </c>
      <c r="AB5" t="s">
        <v>82</v>
      </c>
      <c r="AC5" t="e">
        <f ca="1">SQRT(AC6)</f>
        <v>#NAME?</v>
      </c>
      <c r="AE5" t="s">
        <v>142</v>
      </c>
      <c r="AF5" t="e">
        <f ca="1">AC9*LN(AD14/AC9)+2*(AC13+1)</f>
        <v>#NAME?</v>
      </c>
      <c r="AK5" t="str">
        <f t="shared" ref="AK5:AK8" si="1">A4</f>
        <v>Field 1</v>
      </c>
      <c r="AL5" s="301">
        <f t="shared" si="0"/>
        <v>9.7000000000000011</v>
      </c>
      <c r="AM5" s="345">
        <f t="shared" si="0"/>
        <v>19.2</v>
      </c>
      <c r="AN5" s="345">
        <f t="shared" si="0"/>
        <v>8.3000000000000007</v>
      </c>
      <c r="AO5" s="345">
        <f t="shared" si="0"/>
        <v>6.3</v>
      </c>
      <c r="AP5" s="345">
        <f t="shared" si="0"/>
        <v>6.7</v>
      </c>
      <c r="AQ5" s="303">
        <f t="shared" si="0"/>
        <v>5.8</v>
      </c>
      <c r="AR5">
        <f>AVERAGE(AL5:AQ5)</f>
        <v>9.3333333333333339</v>
      </c>
      <c r="AT5" s="191" t="s">
        <v>100</v>
      </c>
      <c r="AU5" s="191" t="s">
        <v>76</v>
      </c>
      <c r="AV5" s="191" t="s">
        <v>37</v>
      </c>
      <c r="AW5" s="191" t="s">
        <v>78</v>
      </c>
      <c r="AX5" s="191" t="s">
        <v>68</v>
      </c>
      <c r="AY5" s="191" t="s">
        <v>101</v>
      </c>
      <c r="AZ5" s="191" t="s">
        <v>102</v>
      </c>
    </row>
    <row r="6" spans="1:52" x14ac:dyDescent="0.25">
      <c r="A6" t="s">
        <v>655</v>
      </c>
      <c r="B6" s="165">
        <v>15.6</v>
      </c>
      <c r="C6" s="37">
        <v>17.7</v>
      </c>
      <c r="D6" s="37">
        <v>6.1</v>
      </c>
      <c r="E6" s="37">
        <v>3.9999999999999996</v>
      </c>
      <c r="F6" s="37">
        <v>3.1</v>
      </c>
      <c r="G6" s="214">
        <v>4.0999999999999996</v>
      </c>
      <c r="I6" s="52">
        <v>0</v>
      </c>
      <c r="J6" s="353">
        <v>0</v>
      </c>
      <c r="K6" s="353">
        <v>0</v>
      </c>
      <c r="L6" s="353">
        <v>0</v>
      </c>
      <c r="M6" s="56">
        <v>0</v>
      </c>
      <c r="N6" s="52">
        <v>0</v>
      </c>
      <c r="O6" s="353">
        <v>0</v>
      </c>
      <c r="P6" s="56">
        <v>1</v>
      </c>
      <c r="Q6" s="215">
        <v>7.1</v>
      </c>
      <c r="S6" t="s">
        <v>80</v>
      </c>
      <c r="T6" t="e">
        <f ca="1">U13/U15</f>
        <v>#NAME?</v>
      </c>
      <c r="V6" t="s">
        <v>143</v>
      </c>
      <c r="W6" t="e">
        <f ca="1">W5+2*(T13+2)*(T13+3)/(T9-T13-3)</f>
        <v>#NAME?</v>
      </c>
      <c r="AB6" t="s">
        <v>80</v>
      </c>
      <c r="AC6" t="e">
        <f ca="1">AD13/AD15</f>
        <v>#NAME?</v>
      </c>
      <c r="AE6" t="s">
        <v>143</v>
      </c>
      <c r="AF6" t="e">
        <f ca="1">AF5+2*(AC13+2)*(AC13+3)/(AC9-AC13-3)</f>
        <v>#NAME?</v>
      </c>
      <c r="AK6" t="str">
        <f t="shared" si="1"/>
        <v>Field 2</v>
      </c>
      <c r="AL6" s="76">
        <f t="shared" si="0"/>
        <v>13</v>
      </c>
      <c r="AM6" s="7">
        <f t="shared" si="0"/>
        <v>20.2</v>
      </c>
      <c r="AN6" s="7">
        <f t="shared" si="0"/>
        <v>6.4</v>
      </c>
      <c r="AO6" s="7">
        <f t="shared" si="0"/>
        <v>6</v>
      </c>
      <c r="AP6" s="7">
        <f t="shared" si="0"/>
        <v>5.1999999999999993</v>
      </c>
      <c r="AQ6" s="35">
        <f t="shared" si="0"/>
        <v>3.6</v>
      </c>
      <c r="AR6">
        <f t="shared" ref="AR6:AR8" si="2">AVERAGE(AL6:AQ6)</f>
        <v>9.0666666666666664</v>
      </c>
      <c r="AT6" t="s">
        <v>658</v>
      </c>
      <c r="AU6">
        <f>(AV7+1)*DEVSQ(AR5:AR8)</f>
        <v>127.12125000000003</v>
      </c>
      <c r="AV6">
        <f>COUNT(AL5:AL8)-1</f>
        <v>3</v>
      </c>
      <c r="AW6">
        <f>AU6/AV6</f>
        <v>42.373750000000008</v>
      </c>
      <c r="AX6">
        <f>AW6/AW8</f>
        <v>16.761215677225838</v>
      </c>
      <c r="AY6">
        <f>FDIST(AX6,AV6,AV8)</f>
        <v>4.6901407613544823E-5</v>
      </c>
      <c r="AZ6">
        <f>FINV(AY4,AV6,AV8)</f>
        <v>3.2873821046365093</v>
      </c>
    </row>
    <row r="7" spans="1:52" x14ac:dyDescent="0.25">
      <c r="A7" t="s">
        <v>656</v>
      </c>
      <c r="B7" s="190">
        <v>7.1</v>
      </c>
      <c r="C7" s="356">
        <v>11.8</v>
      </c>
      <c r="D7" s="356">
        <v>1.7</v>
      </c>
      <c r="E7" s="356">
        <v>0.5</v>
      </c>
      <c r="F7" s="356">
        <v>0.8</v>
      </c>
      <c r="G7" s="215">
        <v>0.2</v>
      </c>
      <c r="I7" s="299">
        <v>1</v>
      </c>
      <c r="J7" s="304">
        <v>0</v>
      </c>
      <c r="K7" s="304">
        <v>0</v>
      </c>
      <c r="L7" s="304">
        <v>0</v>
      </c>
      <c r="M7" s="300">
        <v>0</v>
      </c>
      <c r="N7" s="299">
        <v>0</v>
      </c>
      <c r="O7" s="304">
        <v>0</v>
      </c>
      <c r="P7" s="300">
        <v>0</v>
      </c>
      <c r="Q7" s="360">
        <v>19.2</v>
      </c>
      <c r="S7" t="s">
        <v>83</v>
      </c>
      <c r="T7" t="e">
        <f ca="1">1-(1-T6)*(T9-1)/(T9-T13-1)</f>
        <v>#NAME?</v>
      </c>
      <c r="V7" s="353" t="s">
        <v>647</v>
      </c>
      <c r="W7" s="353" t="e">
        <f ca="1">T9*LN(U14/T9)+(T13+1)*LN(T9)</f>
        <v>#NAME?</v>
      </c>
      <c r="AB7" t="s">
        <v>83</v>
      </c>
      <c r="AC7" t="e">
        <f ca="1">1-(1-AC6)*(AC9-1)/(AC9-AC13-1)</f>
        <v>#NAME?</v>
      </c>
      <c r="AE7" s="353" t="s">
        <v>647</v>
      </c>
      <c r="AF7" s="353" t="e">
        <f ca="1">AC9*LN(AD14/AC9)+(AC13+1)*LN(AC9)</f>
        <v>#NAME?</v>
      </c>
      <c r="AK7" t="str">
        <f t="shared" si="1"/>
        <v>Field 3</v>
      </c>
      <c r="AL7" s="76">
        <f t="shared" si="0"/>
        <v>15.6</v>
      </c>
      <c r="AM7" s="7">
        <f t="shared" si="0"/>
        <v>17.7</v>
      </c>
      <c r="AN7" s="7">
        <f t="shared" si="0"/>
        <v>6.1</v>
      </c>
      <c r="AO7" s="7">
        <f t="shared" si="0"/>
        <v>3.9999999999999996</v>
      </c>
      <c r="AP7" s="7">
        <f t="shared" si="0"/>
        <v>3.1</v>
      </c>
      <c r="AQ7" s="35">
        <f t="shared" si="0"/>
        <v>4.0999999999999996</v>
      </c>
      <c r="AR7">
        <f t="shared" si="2"/>
        <v>8.4333333333333336</v>
      </c>
      <c r="AT7" t="s">
        <v>47</v>
      </c>
      <c r="AU7">
        <f>(AV6+1)*DEVSQ(AL9:AQ9)</f>
        <v>611.64708333333328</v>
      </c>
      <c r="AV7">
        <f>COUNT(AL5:AQ5)-1</f>
        <v>5</v>
      </c>
      <c r="AW7">
        <f>AU7/AV7</f>
        <v>122.32941666666666</v>
      </c>
      <c r="AX7">
        <f>AW7/AW8</f>
        <v>48.388205821274362</v>
      </c>
      <c r="AY7">
        <f>FDIST(AX7,AV7,AV8)</f>
        <v>1.0032783080736466E-8</v>
      </c>
      <c r="AZ7">
        <f>FINV(AY4,AV7,AV8)</f>
        <v>2.9012945362361564</v>
      </c>
    </row>
    <row r="8" spans="1:52" x14ac:dyDescent="0.25">
      <c r="I8" s="107">
        <v>1</v>
      </c>
      <c r="J8" s="7">
        <v>0</v>
      </c>
      <c r="K8" s="7">
        <v>0</v>
      </c>
      <c r="L8" s="7">
        <v>0</v>
      </c>
      <c r="M8" s="108">
        <v>0</v>
      </c>
      <c r="N8" s="107">
        <v>1</v>
      </c>
      <c r="O8" s="23">
        <v>0</v>
      </c>
      <c r="P8" s="108">
        <v>0</v>
      </c>
      <c r="Q8" s="214">
        <v>20.2</v>
      </c>
      <c r="S8" t="s">
        <v>9</v>
      </c>
      <c r="T8" t="e">
        <f ca="1">SQRT(V14)</f>
        <v>#NAME?</v>
      </c>
      <c r="AB8" t="s">
        <v>9</v>
      </c>
      <c r="AC8" t="e">
        <f ca="1">SQRT(AE14)</f>
        <v>#NAME?</v>
      </c>
      <c r="AK8" t="str">
        <f t="shared" si="1"/>
        <v>Field 4</v>
      </c>
      <c r="AL8" s="348">
        <f t="shared" si="0"/>
        <v>7.1</v>
      </c>
      <c r="AM8" s="349">
        <f t="shared" si="0"/>
        <v>11.8</v>
      </c>
      <c r="AN8" s="349">
        <f t="shared" si="0"/>
        <v>1.7</v>
      </c>
      <c r="AO8" s="349">
        <f t="shared" si="0"/>
        <v>0.5</v>
      </c>
      <c r="AP8" s="349">
        <f t="shared" si="0"/>
        <v>0.8</v>
      </c>
      <c r="AQ8" s="350">
        <f t="shared" si="0"/>
        <v>0.2</v>
      </c>
      <c r="AR8">
        <f t="shared" si="2"/>
        <v>3.6833333333333331</v>
      </c>
      <c r="AT8" t="s">
        <v>122</v>
      </c>
      <c r="AU8">
        <f>AU9-AU6-AU7</f>
        <v>37.921249999999986</v>
      </c>
      <c r="AV8">
        <f>AV9-AV6-AV7</f>
        <v>15</v>
      </c>
      <c r="AW8">
        <f>AU8/AV8</f>
        <v>2.5280833333333326</v>
      </c>
    </row>
    <row r="9" spans="1:52" x14ac:dyDescent="0.25">
      <c r="B9" s="7"/>
      <c r="C9" s="7"/>
      <c r="D9" s="7"/>
      <c r="E9" s="7"/>
      <c r="F9" s="7"/>
      <c r="G9" s="7"/>
      <c r="I9" s="107">
        <v>1</v>
      </c>
      <c r="J9" s="7">
        <v>0</v>
      </c>
      <c r="K9" s="7">
        <v>0</v>
      </c>
      <c r="L9" s="7">
        <v>0</v>
      </c>
      <c r="M9" s="108">
        <v>0</v>
      </c>
      <c r="N9" s="107">
        <v>0</v>
      </c>
      <c r="O9" s="23">
        <v>1</v>
      </c>
      <c r="P9" s="108">
        <v>0</v>
      </c>
      <c r="Q9" s="214">
        <v>17.7</v>
      </c>
      <c r="S9" s="353" t="s">
        <v>49</v>
      </c>
      <c r="T9" s="353">
        <f>COUNT(Q3:Q26)</f>
        <v>24</v>
      </c>
      <c r="AB9" s="353" t="s">
        <v>49</v>
      </c>
      <c r="AC9" s="353">
        <f>COUNT(Q3:Q26)</f>
        <v>24</v>
      </c>
      <c r="AK9" t="s">
        <v>8</v>
      </c>
      <c r="AL9">
        <f>AVERAGE(AL5:AL8)</f>
        <v>11.350000000000001</v>
      </c>
      <c r="AM9">
        <f t="shared" ref="AM9:AR9" si="3">AVERAGE(AM5:AM8)</f>
        <v>17.224999999999998</v>
      </c>
      <c r="AN9">
        <f t="shared" si="3"/>
        <v>5.625</v>
      </c>
      <c r="AO9">
        <f t="shared" si="3"/>
        <v>4.2</v>
      </c>
      <c r="AP9">
        <f t="shared" si="3"/>
        <v>3.9499999999999997</v>
      </c>
      <c r="AQ9">
        <f t="shared" si="3"/>
        <v>3.4249999999999998</v>
      </c>
      <c r="AR9">
        <f t="shared" si="3"/>
        <v>7.6291666666666664</v>
      </c>
      <c r="AT9" t="s">
        <v>1</v>
      </c>
      <c r="AU9">
        <f>DEVSQ(AL5:AQ8)</f>
        <v>776.6895833333333</v>
      </c>
      <c r="AV9">
        <f>(AV6+1)*(AV7+1)-1</f>
        <v>23</v>
      </c>
    </row>
    <row r="10" spans="1:52" x14ac:dyDescent="0.25">
      <c r="I10" s="52">
        <v>1</v>
      </c>
      <c r="J10" s="353">
        <v>0</v>
      </c>
      <c r="K10" s="353">
        <v>0</v>
      </c>
      <c r="L10" s="353">
        <v>0</v>
      </c>
      <c r="M10" s="56">
        <v>0</v>
      </c>
      <c r="N10" s="52">
        <v>0</v>
      </c>
      <c r="O10" s="353">
        <v>0</v>
      </c>
      <c r="P10" s="56">
        <v>1</v>
      </c>
      <c r="Q10" s="215">
        <v>11.8</v>
      </c>
      <c r="AK10" t="s">
        <v>48</v>
      </c>
      <c r="AL10">
        <f>VAR(AL5:AL8)</f>
        <v>13.856666666666646</v>
      </c>
      <c r="AM10">
        <f t="shared" ref="AM10:AR10" si="4">VAR(AM5:AM8)</f>
        <v>14.135833333333343</v>
      </c>
      <c r="AN10">
        <f t="shared" si="4"/>
        <v>7.7958333333333298</v>
      </c>
      <c r="AO10">
        <f t="shared" si="4"/>
        <v>7.1266666666666652</v>
      </c>
      <c r="AP10">
        <f t="shared" si="4"/>
        <v>6.5900000000000007</v>
      </c>
      <c r="AQ10">
        <f t="shared" si="4"/>
        <v>5.5091666666666681</v>
      </c>
      <c r="AR10">
        <f t="shared" si="4"/>
        <v>7.0622916666666713</v>
      </c>
      <c r="AT10" s="304"/>
      <c r="AU10" s="304"/>
      <c r="AV10" s="304"/>
      <c r="AW10" s="304"/>
      <c r="AX10" s="304"/>
      <c r="AY10" s="304"/>
      <c r="AZ10" s="304"/>
    </row>
    <row r="11" spans="1:52" ht="15.75" thickBot="1" x14ac:dyDescent="0.3">
      <c r="I11" s="299">
        <v>0</v>
      </c>
      <c r="J11" s="304">
        <v>1</v>
      </c>
      <c r="K11" s="304">
        <v>0</v>
      </c>
      <c r="L11" s="304">
        <v>0</v>
      </c>
      <c r="M11" s="300">
        <v>0</v>
      </c>
      <c r="N11" s="299">
        <v>0</v>
      </c>
      <c r="O11" s="304">
        <v>0</v>
      </c>
      <c r="P11" s="300">
        <v>0</v>
      </c>
      <c r="Q11" s="361">
        <v>8.3000000000000007</v>
      </c>
      <c r="S11" t="s">
        <v>84</v>
      </c>
      <c r="W11" s="341" t="s">
        <v>17</v>
      </c>
      <c r="X11" s="341">
        <v>0.05</v>
      </c>
      <c r="AB11" t="s">
        <v>84</v>
      </c>
      <c r="AF11" s="341" t="s">
        <v>17</v>
      </c>
      <c r="AG11" s="341">
        <v>0.05</v>
      </c>
      <c r="AT11" s="23" t="s">
        <v>788</v>
      </c>
    </row>
    <row r="12" spans="1:52" ht="15.75" thickTop="1" x14ac:dyDescent="0.25">
      <c r="I12" s="107">
        <v>0</v>
      </c>
      <c r="J12" s="7">
        <v>1</v>
      </c>
      <c r="K12" s="7">
        <v>0</v>
      </c>
      <c r="L12" s="7">
        <v>0</v>
      </c>
      <c r="M12" s="108">
        <v>0</v>
      </c>
      <c r="N12" s="107">
        <v>1</v>
      </c>
      <c r="O12" s="23">
        <v>0</v>
      </c>
      <c r="P12" s="108">
        <v>0</v>
      </c>
      <c r="Q12" s="362">
        <v>6.4</v>
      </c>
      <c r="S12" s="191"/>
      <c r="T12" s="191" t="s">
        <v>37</v>
      </c>
      <c r="U12" s="191" t="s">
        <v>76</v>
      </c>
      <c r="V12" s="191" t="s">
        <v>78</v>
      </c>
      <c r="W12" s="191" t="s">
        <v>68</v>
      </c>
      <c r="X12" s="191" t="s">
        <v>43</v>
      </c>
      <c r="Y12" s="191" t="s">
        <v>111</v>
      </c>
      <c r="AB12" s="191"/>
      <c r="AC12" s="191" t="s">
        <v>37</v>
      </c>
      <c r="AD12" s="191" t="s">
        <v>76</v>
      </c>
      <c r="AE12" s="191" t="s">
        <v>78</v>
      </c>
      <c r="AF12" s="191" t="s">
        <v>68</v>
      </c>
      <c r="AG12" s="191" t="s">
        <v>43</v>
      </c>
      <c r="AH12" s="191" t="s">
        <v>111</v>
      </c>
    </row>
    <row r="13" spans="1:52" ht="15.75" thickBot="1" x14ac:dyDescent="0.3">
      <c r="I13" s="107">
        <v>0</v>
      </c>
      <c r="J13" s="7">
        <v>1</v>
      </c>
      <c r="K13" s="7">
        <v>0</v>
      </c>
      <c r="L13" s="7">
        <v>0</v>
      </c>
      <c r="M13" s="108">
        <v>0</v>
      </c>
      <c r="N13" s="107">
        <v>0</v>
      </c>
      <c r="O13" s="23">
        <v>1</v>
      </c>
      <c r="P13" s="108">
        <v>0</v>
      </c>
      <c r="Q13" s="362">
        <v>6.1</v>
      </c>
      <c r="S13" t="s">
        <v>77</v>
      </c>
      <c r="T13">
        <f>COUNT(I3:P3)</f>
        <v>8</v>
      </c>
      <c r="U13" t="e">
        <f ca="1">DEVSQ(MMULT(DESIGN(I3:P26),T18:T26))</f>
        <v>#NAME?</v>
      </c>
      <c r="V13" t="e">
        <f ca="1">U13/T13</f>
        <v>#NAME?</v>
      </c>
      <c r="W13" t="e">
        <f ca="1">V13/V14</f>
        <v>#NAME?</v>
      </c>
      <c r="X13" t="e">
        <f ca="1">FDIST(W13,T13,T14)</f>
        <v>#NAME?</v>
      </c>
      <c r="Y13" s="341" t="e">
        <f ca="1">IF(X13&lt;X11,"yes","no")</f>
        <v>#NAME?</v>
      </c>
      <c r="AB13" t="s">
        <v>77</v>
      </c>
      <c r="AC13">
        <f>COUNT(I3:M3)</f>
        <v>5</v>
      </c>
      <c r="AD13" t="e">
        <f ca="1">DEVSQ(MMULT(DESIGN(I3:M26),AC18:AC23))</f>
        <v>#NAME?</v>
      </c>
      <c r="AE13" t="e">
        <f ca="1">AD13/AC13</f>
        <v>#NAME?</v>
      </c>
      <c r="AF13" t="e">
        <f ca="1">AE13/AE14</f>
        <v>#NAME?</v>
      </c>
      <c r="AG13" t="e">
        <f ca="1">FDIST(AF13,AC13,AC14)</f>
        <v>#NAME?</v>
      </c>
      <c r="AH13" s="341" t="e">
        <f ca="1">IF(AG13&lt;AG11,"yes","no")</f>
        <v>#NAME?</v>
      </c>
      <c r="AT13" t="s">
        <v>84</v>
      </c>
      <c r="AX13" t="s">
        <v>17</v>
      </c>
      <c r="AY13">
        <v>0.05</v>
      </c>
    </row>
    <row r="14" spans="1:52" ht="15.75" thickTop="1" x14ac:dyDescent="0.25">
      <c r="I14" s="52">
        <v>0</v>
      </c>
      <c r="J14" s="317">
        <v>1</v>
      </c>
      <c r="K14" s="317">
        <v>0</v>
      </c>
      <c r="L14" s="317">
        <v>0</v>
      </c>
      <c r="M14" s="56">
        <v>0</v>
      </c>
      <c r="N14" s="52">
        <v>0</v>
      </c>
      <c r="O14" s="317">
        <v>0</v>
      </c>
      <c r="P14" s="56">
        <v>1</v>
      </c>
      <c r="Q14" s="363">
        <v>1.7</v>
      </c>
      <c r="S14" t="s">
        <v>85</v>
      </c>
      <c r="T14">
        <f>T15-T13</f>
        <v>15</v>
      </c>
      <c r="U14" t="e">
        <f ca="1">U15-U13</f>
        <v>#NAME?</v>
      </c>
      <c r="V14" t="e">
        <f ca="1">U14/T14</f>
        <v>#NAME?</v>
      </c>
      <c r="AB14" t="s">
        <v>85</v>
      </c>
      <c r="AC14">
        <f>AC15-AC13</f>
        <v>18</v>
      </c>
      <c r="AD14" t="e">
        <f ca="1">AD15-AD13</f>
        <v>#NAME?</v>
      </c>
      <c r="AE14" t="e">
        <f ca="1">AD14/AC14</f>
        <v>#NAME?</v>
      </c>
      <c r="AT14" s="191" t="s">
        <v>100</v>
      </c>
      <c r="AU14" s="191" t="s">
        <v>76</v>
      </c>
      <c r="AV14" s="191" t="s">
        <v>37</v>
      </c>
      <c r="AW14" s="191" t="s">
        <v>78</v>
      </c>
      <c r="AX14" s="191" t="s">
        <v>68</v>
      </c>
      <c r="AY14" s="191" t="s">
        <v>101</v>
      </c>
      <c r="AZ14" s="191" t="s">
        <v>102</v>
      </c>
    </row>
    <row r="15" spans="1:52" x14ac:dyDescent="0.25">
      <c r="I15" s="299">
        <v>0</v>
      </c>
      <c r="J15" s="304">
        <v>0</v>
      </c>
      <c r="K15" s="304">
        <v>1</v>
      </c>
      <c r="L15" s="304">
        <v>0</v>
      </c>
      <c r="M15" s="300">
        <v>0</v>
      </c>
      <c r="N15" s="299">
        <v>0</v>
      </c>
      <c r="O15" s="304">
        <v>0</v>
      </c>
      <c r="P15" s="300">
        <v>0</v>
      </c>
      <c r="Q15" s="360">
        <v>6.3</v>
      </c>
      <c r="S15" s="317" t="s">
        <v>1</v>
      </c>
      <c r="T15" s="317">
        <f>T9-1</f>
        <v>23</v>
      </c>
      <c r="U15" s="317">
        <f>DEVSQ(Q3:Q26)</f>
        <v>776.6895833333333</v>
      </c>
      <c r="V15" s="317"/>
      <c r="W15" s="317"/>
      <c r="X15" s="317"/>
      <c r="Y15" s="317"/>
      <c r="AB15" s="317" t="s">
        <v>1</v>
      </c>
      <c r="AC15" s="317">
        <f>AC9-1</f>
        <v>23</v>
      </c>
      <c r="AD15" s="317">
        <f>DEVSQ(Q3:Q26)</f>
        <v>776.6895833333333</v>
      </c>
      <c r="AE15" s="317"/>
      <c r="AF15" s="317"/>
      <c r="AG15" s="317"/>
      <c r="AH15" s="317"/>
      <c r="AT15" t="s">
        <v>658</v>
      </c>
      <c r="AU15" t="e">
        <f ca="1">U13-AU16</f>
        <v>#NAME?</v>
      </c>
      <c r="AV15">
        <f>T13-AV16</f>
        <v>3</v>
      </c>
      <c r="AW15" t="e">
        <f ca="1">AU15/AV15</f>
        <v>#NAME?</v>
      </c>
      <c r="AX15" t="e">
        <f ca="1">AW15/AW17</f>
        <v>#NAME?</v>
      </c>
      <c r="AY15" t="e">
        <f ca="1">FDIST(AX15,AV15,AV17)</f>
        <v>#NAME?</v>
      </c>
      <c r="AZ15">
        <f>FINV(AY13,AV15,AV17)</f>
        <v>3.2873821046365093</v>
      </c>
    </row>
    <row r="16" spans="1:52" ht="15.75" thickBot="1" x14ac:dyDescent="0.3">
      <c r="I16" s="107">
        <v>0</v>
      </c>
      <c r="J16" s="7">
        <v>0</v>
      </c>
      <c r="K16" s="7">
        <v>1</v>
      </c>
      <c r="L16" s="7">
        <v>0</v>
      </c>
      <c r="M16" s="108">
        <v>0</v>
      </c>
      <c r="N16" s="107">
        <v>1</v>
      </c>
      <c r="O16" s="23">
        <v>0</v>
      </c>
      <c r="P16" s="108">
        <v>0</v>
      </c>
      <c r="Q16" s="214">
        <v>6</v>
      </c>
      <c r="AT16" t="s">
        <v>47</v>
      </c>
      <c r="AU16" t="e">
        <f ca="1">AD13</f>
        <v>#NAME?</v>
      </c>
      <c r="AV16">
        <f>AC13</f>
        <v>5</v>
      </c>
      <c r="AW16" t="e">
        <f ca="1">AU16/AV16</f>
        <v>#NAME?</v>
      </c>
      <c r="AX16" t="e">
        <f ca="1">AW16/AW17</f>
        <v>#NAME?</v>
      </c>
      <c r="AY16" t="e">
        <f ca="1">FDIST(AX16,AV16,AV17)</f>
        <v>#NAME?</v>
      </c>
      <c r="AZ16">
        <f>FINV(AY13,AV16,AV17)</f>
        <v>2.9012945362361564</v>
      </c>
    </row>
    <row r="17" spans="9:52" ht="15.75" thickTop="1" x14ac:dyDescent="0.25">
      <c r="I17" s="107">
        <v>0</v>
      </c>
      <c r="J17" s="7">
        <v>0</v>
      </c>
      <c r="K17" s="7">
        <v>1</v>
      </c>
      <c r="L17" s="7">
        <v>0</v>
      </c>
      <c r="M17" s="108">
        <v>0</v>
      </c>
      <c r="N17" s="107">
        <v>0</v>
      </c>
      <c r="O17" s="23">
        <v>1</v>
      </c>
      <c r="P17" s="108">
        <v>0</v>
      </c>
      <c r="Q17" s="214">
        <v>3.9999999999999996</v>
      </c>
      <c r="S17" s="191"/>
      <c r="T17" s="191" t="s">
        <v>494</v>
      </c>
      <c r="U17" s="191" t="s">
        <v>183</v>
      </c>
      <c r="V17" s="191" t="s">
        <v>38</v>
      </c>
      <c r="W17" s="191" t="s">
        <v>43</v>
      </c>
      <c r="X17" s="191" t="s">
        <v>14</v>
      </c>
      <c r="Y17" s="191" t="s">
        <v>15</v>
      </c>
      <c r="Z17" s="191" t="s">
        <v>646</v>
      </c>
      <c r="AB17" s="191"/>
      <c r="AC17" s="191" t="s">
        <v>494</v>
      </c>
      <c r="AD17" s="191" t="s">
        <v>183</v>
      </c>
      <c r="AE17" s="191" t="s">
        <v>38</v>
      </c>
      <c r="AF17" s="191" t="s">
        <v>43</v>
      </c>
      <c r="AG17" s="191" t="s">
        <v>14</v>
      </c>
      <c r="AH17" s="191" t="s">
        <v>15</v>
      </c>
      <c r="AI17" s="191" t="s">
        <v>646</v>
      </c>
      <c r="AT17" t="s">
        <v>122</v>
      </c>
      <c r="AU17" t="e">
        <f ca="1">U14</f>
        <v>#NAME?</v>
      </c>
      <c r="AV17">
        <f>T14</f>
        <v>15</v>
      </c>
      <c r="AW17" t="e">
        <f ca="1">AU17/AV17</f>
        <v>#NAME?</v>
      </c>
    </row>
    <row r="18" spans="9:52" x14ac:dyDescent="0.25">
      <c r="I18" s="52">
        <v>0</v>
      </c>
      <c r="J18" s="317">
        <v>0</v>
      </c>
      <c r="K18" s="317">
        <v>1</v>
      </c>
      <c r="L18" s="317">
        <v>0</v>
      </c>
      <c r="M18" s="56">
        <v>0</v>
      </c>
      <c r="N18" s="52">
        <v>0</v>
      </c>
      <c r="O18" s="317">
        <v>0</v>
      </c>
      <c r="P18" s="56">
        <v>1</v>
      </c>
      <c r="Q18" s="215">
        <v>0.5</v>
      </c>
      <c r="S18" t="s">
        <v>86</v>
      </c>
      <c r="T18" t="e">
        <f t="array" aca="1" ref="T18:U26" ca="1">RegCoeff(I3:P26,Q3:Q26)</f>
        <v>#NAME?</v>
      </c>
      <c r="U18" t="e">
        <f ca="1"/>
        <v>#NAME?</v>
      </c>
      <c r="V18" t="e">
        <f ca="1">T18/U18</f>
        <v>#NAME?</v>
      </c>
      <c r="W18" t="e">
        <f ca="1">TDIST(ABS(V18),$T$14,2)</f>
        <v>#NAME?</v>
      </c>
      <c r="X18" t="e">
        <f ca="1">T18-TINV(X$11,$T$14)*U18</f>
        <v>#NAME?</v>
      </c>
      <c r="Y18" t="e">
        <f ca="1">T18+TINV(X$11,$T$14)*U18</f>
        <v>#NAME?</v>
      </c>
      <c r="AB18" t="s">
        <v>86</v>
      </c>
      <c r="AC18" t="e">
        <f t="array" aca="1" ref="AC18:AD23" ca="1">RegCoeff(I3:M26,Q3:Q26)</f>
        <v>#NAME?</v>
      </c>
      <c r="AD18" t="e">
        <f ca="1"/>
        <v>#NAME?</v>
      </c>
      <c r="AE18" t="e">
        <f ca="1">AC18/AD18</f>
        <v>#NAME?</v>
      </c>
      <c r="AF18" t="e">
        <f ca="1">TDIST(ABS(AE18),$AC$14,2)</f>
        <v>#NAME?</v>
      </c>
      <c r="AG18" t="e">
        <f ca="1">AC18-TINV(AG$11,$AC$14)*AD18</f>
        <v>#NAME?</v>
      </c>
      <c r="AH18" t="e">
        <f ca="1">AC18+TINV(AG$11,$AC$14)*AD18</f>
        <v>#NAME?</v>
      </c>
      <c r="AT18" s="317" t="s">
        <v>1</v>
      </c>
      <c r="AU18" s="317">
        <f>U15</f>
        <v>776.6895833333333</v>
      </c>
      <c r="AV18" s="317">
        <f>T15</f>
        <v>23</v>
      </c>
      <c r="AW18" s="317"/>
      <c r="AX18" s="317"/>
      <c r="AY18" s="317"/>
      <c r="AZ18" s="317"/>
    </row>
    <row r="19" spans="9:52" x14ac:dyDescent="0.25">
      <c r="I19" s="299">
        <v>0</v>
      </c>
      <c r="J19" s="304">
        <v>0</v>
      </c>
      <c r="K19" s="304">
        <v>0</v>
      </c>
      <c r="L19" s="304">
        <v>1</v>
      </c>
      <c r="M19" s="300">
        <v>0</v>
      </c>
      <c r="N19" s="299">
        <v>0</v>
      </c>
      <c r="O19" s="304">
        <v>0</v>
      </c>
      <c r="P19" s="300">
        <v>0</v>
      </c>
      <c r="Q19" s="360">
        <v>6.7</v>
      </c>
      <c r="S19" t="str">
        <f t="array" ref="S19:S26">TRANSPOSE(I2:P2)</f>
        <v>T10</v>
      </c>
      <c r="T19" t="e">
        <f ca="1"/>
        <v>#NAME?</v>
      </c>
      <c r="U19" t="e">
        <f ca="1"/>
        <v>#NAME?</v>
      </c>
      <c r="V19" t="e">
        <f t="shared" ref="V19:V26" ca="1" si="5">T19/U19</f>
        <v>#NAME?</v>
      </c>
      <c r="W19" t="e">
        <f t="shared" ref="W19:W26" ca="1" si="6">TDIST(ABS(V19),$T$14,2)</f>
        <v>#NAME?</v>
      </c>
      <c r="X19" t="e">
        <f t="shared" ref="X19:X26" ca="1" si="7">T19-TINV(X$11,$T$14)*U19</f>
        <v>#NAME?</v>
      </c>
      <c r="Y19" t="e">
        <f t="shared" ref="Y19:Y26" ca="1" si="8">T19+TINV(X$11,$T$14)*U19</f>
        <v>#NAME?</v>
      </c>
      <c r="Z19" t="e">
        <f ca="1">VIF(I3:P26,1)</f>
        <v>#NAME?</v>
      </c>
      <c r="AB19" t="str">
        <f t="array" ref="AB19:AB23">TRANSPOSE(I2:M2)</f>
        <v>T10</v>
      </c>
      <c r="AC19" t="e">
        <f ca="1"/>
        <v>#NAME?</v>
      </c>
      <c r="AD19" t="e">
        <f ca="1"/>
        <v>#NAME?</v>
      </c>
      <c r="AE19" t="e">
        <f t="shared" ref="AE19:AE23" ca="1" si="9">AC19/AD19</f>
        <v>#NAME?</v>
      </c>
      <c r="AF19" t="e">
        <f t="shared" ref="AF19:AF23" ca="1" si="10">TDIST(ABS(AE19),$AC$14,2)</f>
        <v>#NAME?</v>
      </c>
      <c r="AG19" t="e">
        <f t="shared" ref="AG19:AG23" ca="1" si="11">AC19-TINV(AG$11,$AC$14)*AD19</f>
        <v>#NAME?</v>
      </c>
      <c r="AH19" t="e">
        <f t="shared" ref="AH19:AH23" ca="1" si="12">AC19+TINV(AG$11,$AC$14)*AD19</f>
        <v>#NAME?</v>
      </c>
      <c r="AI19" t="e">
        <f ca="1">VIF(I3:M26,1)</f>
        <v>#NAME?</v>
      </c>
    </row>
    <row r="20" spans="9:52" x14ac:dyDescent="0.25">
      <c r="I20" s="107">
        <v>0</v>
      </c>
      <c r="J20" s="7">
        <v>0</v>
      </c>
      <c r="K20" s="7">
        <v>0</v>
      </c>
      <c r="L20" s="7">
        <v>1</v>
      </c>
      <c r="M20" s="108">
        <v>0</v>
      </c>
      <c r="N20" s="107">
        <v>1</v>
      </c>
      <c r="O20" s="23">
        <v>0</v>
      </c>
      <c r="P20" s="108">
        <v>0</v>
      </c>
      <c r="Q20" s="214">
        <v>5.1999999999999993</v>
      </c>
      <c r="S20" t="str">
        <v>T15</v>
      </c>
      <c r="T20" t="e">
        <f ca="1"/>
        <v>#NAME?</v>
      </c>
      <c r="U20" t="e">
        <f ca="1"/>
        <v>#NAME?</v>
      </c>
      <c r="V20" t="e">
        <f t="shared" ca="1" si="5"/>
        <v>#NAME?</v>
      </c>
      <c r="W20" t="e">
        <f t="shared" ca="1" si="6"/>
        <v>#NAME?</v>
      </c>
      <c r="X20" t="e">
        <f t="shared" ca="1" si="7"/>
        <v>#NAME?</v>
      </c>
      <c r="Y20" t="e">
        <f t="shared" ca="1" si="8"/>
        <v>#NAME?</v>
      </c>
      <c r="Z20" t="e">
        <f ca="1">VIF(I3:P26,2)</f>
        <v>#NAME?</v>
      </c>
      <c r="AB20" t="str">
        <v>T15</v>
      </c>
      <c r="AC20" t="e">
        <f ca="1"/>
        <v>#NAME?</v>
      </c>
      <c r="AD20" t="e">
        <f ca="1"/>
        <v>#NAME?</v>
      </c>
      <c r="AE20" t="e">
        <f t="shared" ca="1" si="9"/>
        <v>#NAME?</v>
      </c>
      <c r="AF20" t="e">
        <f t="shared" ca="1" si="10"/>
        <v>#NAME?</v>
      </c>
      <c r="AG20" t="e">
        <f t="shared" ca="1" si="11"/>
        <v>#NAME?</v>
      </c>
      <c r="AH20" t="e">
        <f t="shared" ca="1" si="12"/>
        <v>#NAME?</v>
      </c>
      <c r="AI20" t="e">
        <f ca="1">VIF(I3:M26,2)</f>
        <v>#NAME?</v>
      </c>
    </row>
    <row r="21" spans="9:52" x14ac:dyDescent="0.25">
      <c r="I21" s="107">
        <v>0</v>
      </c>
      <c r="J21" s="7">
        <v>0</v>
      </c>
      <c r="K21" s="7">
        <v>0</v>
      </c>
      <c r="L21" s="7">
        <v>1</v>
      </c>
      <c r="M21" s="108">
        <v>0</v>
      </c>
      <c r="N21" s="107">
        <v>0</v>
      </c>
      <c r="O21" s="23">
        <v>1</v>
      </c>
      <c r="P21" s="108">
        <v>0</v>
      </c>
      <c r="Q21" s="214">
        <v>3.1</v>
      </c>
      <c r="S21" t="str">
        <v>T20</v>
      </c>
      <c r="T21" t="e">
        <f ca="1"/>
        <v>#NAME?</v>
      </c>
      <c r="U21" t="e">
        <f ca="1"/>
        <v>#NAME?</v>
      </c>
      <c r="V21" t="e">
        <f t="shared" ca="1" si="5"/>
        <v>#NAME?</v>
      </c>
      <c r="W21" t="e">
        <f t="shared" ca="1" si="6"/>
        <v>#NAME?</v>
      </c>
      <c r="X21" t="e">
        <f t="shared" ca="1" si="7"/>
        <v>#NAME?</v>
      </c>
      <c r="Y21" t="e">
        <f t="shared" ca="1" si="8"/>
        <v>#NAME?</v>
      </c>
      <c r="Z21" t="e">
        <f ca="1">VIF(I3:P26,3)</f>
        <v>#NAME?</v>
      </c>
      <c r="AB21" t="str">
        <v>T20</v>
      </c>
      <c r="AC21" t="e">
        <f ca="1"/>
        <v>#NAME?</v>
      </c>
      <c r="AD21" t="e">
        <f ca="1"/>
        <v>#NAME?</v>
      </c>
      <c r="AE21" t="e">
        <f t="shared" ca="1" si="9"/>
        <v>#NAME?</v>
      </c>
      <c r="AF21" t="e">
        <f t="shared" ca="1" si="10"/>
        <v>#NAME?</v>
      </c>
      <c r="AG21" t="e">
        <f t="shared" ca="1" si="11"/>
        <v>#NAME?</v>
      </c>
      <c r="AH21" t="e">
        <f t="shared" ca="1" si="12"/>
        <v>#NAME?</v>
      </c>
      <c r="AI21" t="e">
        <f ca="1">VIF(I3:M26,3)</f>
        <v>#NAME?</v>
      </c>
      <c r="AK21" t="s">
        <v>99</v>
      </c>
      <c r="AT21" t="s">
        <v>805</v>
      </c>
    </row>
    <row r="22" spans="9:52" x14ac:dyDescent="0.25">
      <c r="I22" s="52">
        <v>0</v>
      </c>
      <c r="J22" s="317">
        <v>0</v>
      </c>
      <c r="K22" s="317">
        <v>0</v>
      </c>
      <c r="L22" s="317">
        <v>1</v>
      </c>
      <c r="M22" s="56">
        <v>0</v>
      </c>
      <c r="N22" s="52">
        <v>0</v>
      </c>
      <c r="O22" s="317">
        <v>0</v>
      </c>
      <c r="P22" s="56">
        <v>1</v>
      </c>
      <c r="Q22" s="215">
        <v>0.8</v>
      </c>
      <c r="S22" t="str">
        <v>T25</v>
      </c>
      <c r="T22" t="e">
        <f ca="1"/>
        <v>#NAME?</v>
      </c>
      <c r="U22" t="e">
        <f ca="1"/>
        <v>#NAME?</v>
      </c>
      <c r="V22" t="e">
        <f t="shared" ca="1" si="5"/>
        <v>#NAME?</v>
      </c>
      <c r="W22" t="e">
        <f t="shared" ca="1" si="6"/>
        <v>#NAME?</v>
      </c>
      <c r="X22" t="e">
        <f t="shared" ca="1" si="7"/>
        <v>#NAME?</v>
      </c>
      <c r="Y22" t="e">
        <f t="shared" ca="1" si="8"/>
        <v>#NAME?</v>
      </c>
      <c r="Z22" t="e">
        <f ca="1">VIF(I3:P26,4)</f>
        <v>#NAME?</v>
      </c>
      <c r="AB22" t="str">
        <v>T25</v>
      </c>
      <c r="AC22" t="e">
        <f ca="1"/>
        <v>#NAME?</v>
      </c>
      <c r="AD22" t="e">
        <f ca="1"/>
        <v>#NAME?</v>
      </c>
      <c r="AE22" t="e">
        <f t="shared" ca="1" si="9"/>
        <v>#NAME?</v>
      </c>
      <c r="AF22" t="e">
        <f t="shared" ca="1" si="10"/>
        <v>#NAME?</v>
      </c>
      <c r="AG22" t="e">
        <f t="shared" ca="1" si="11"/>
        <v>#NAME?</v>
      </c>
      <c r="AH22" t="e">
        <f t="shared" ca="1" si="12"/>
        <v>#NAME?</v>
      </c>
      <c r="AI22" t="e">
        <f ca="1">VIF(I3:M26,4)</f>
        <v>#NAME?</v>
      </c>
    </row>
    <row r="23" spans="9:52" ht="15.75" thickBot="1" x14ac:dyDescent="0.3">
      <c r="I23" s="299">
        <v>0</v>
      </c>
      <c r="J23" s="304">
        <v>0</v>
      </c>
      <c r="K23" s="304">
        <v>0</v>
      </c>
      <c r="L23" s="304">
        <v>0</v>
      </c>
      <c r="M23" s="300">
        <v>1</v>
      </c>
      <c r="N23" s="299">
        <v>0</v>
      </c>
      <c r="O23" s="304">
        <v>0</v>
      </c>
      <c r="P23" s="300">
        <v>0</v>
      </c>
      <c r="Q23" s="214">
        <v>5.8</v>
      </c>
      <c r="S23" t="str">
        <v>T30</v>
      </c>
      <c r="T23" t="e">
        <f ca="1"/>
        <v>#NAME?</v>
      </c>
      <c r="U23" t="e">
        <f ca="1"/>
        <v>#NAME?</v>
      </c>
      <c r="V23" t="e">
        <f t="shared" ca="1" si="5"/>
        <v>#NAME?</v>
      </c>
      <c r="W23" t="e">
        <f t="shared" ca="1" si="6"/>
        <v>#NAME?</v>
      </c>
      <c r="X23" t="e">
        <f t="shared" ca="1" si="7"/>
        <v>#NAME?</v>
      </c>
      <c r="Y23" t="e">
        <f t="shared" ca="1" si="8"/>
        <v>#NAME?</v>
      </c>
      <c r="Z23" t="e">
        <f ca="1">VIF(I3:P26,5)</f>
        <v>#NAME?</v>
      </c>
      <c r="AB23" s="317" t="str">
        <v>T30</v>
      </c>
      <c r="AC23" s="317" t="e">
        <f ca="1"/>
        <v>#NAME?</v>
      </c>
      <c r="AD23" s="317" t="e">
        <f ca="1"/>
        <v>#NAME?</v>
      </c>
      <c r="AE23" s="317" t="e">
        <f t="shared" ca="1" si="9"/>
        <v>#NAME?</v>
      </c>
      <c r="AF23" s="317" t="e">
        <f t="shared" ca="1" si="10"/>
        <v>#NAME?</v>
      </c>
      <c r="AG23" s="317" t="e">
        <f t="shared" ca="1" si="11"/>
        <v>#NAME?</v>
      </c>
      <c r="AH23" s="317" t="e">
        <f t="shared" ca="1" si="12"/>
        <v>#NAME?</v>
      </c>
      <c r="AI23" s="317" t="e">
        <f ca="1">VIF(I3:M26,5)</f>
        <v>#NAME?</v>
      </c>
      <c r="AK23" t="str">
        <f>IF(A3="","",A3)</f>
        <v/>
      </c>
      <c r="AL23">
        <f t="shared" ref="AL23:AQ27" si="13">IF(ISBLANK(B3),"",B3)</f>
        <v>5</v>
      </c>
      <c r="AM23">
        <f t="shared" si="13"/>
        <v>10</v>
      </c>
      <c r="AN23">
        <f t="shared" si="13"/>
        <v>15</v>
      </c>
      <c r="AO23">
        <f t="shared" si="13"/>
        <v>20</v>
      </c>
      <c r="AP23">
        <f t="shared" si="13"/>
        <v>25</v>
      </c>
      <c r="AQ23">
        <f t="shared" si="13"/>
        <v>30</v>
      </c>
      <c r="AR23" s="341" t="s">
        <v>8</v>
      </c>
      <c r="AT23" t="s">
        <v>84</v>
      </c>
      <c r="AX23" t="s">
        <v>17</v>
      </c>
      <c r="AY23">
        <v>0.05</v>
      </c>
    </row>
    <row r="24" spans="9:52" ht="15.75" thickTop="1" x14ac:dyDescent="0.25">
      <c r="I24" s="107">
        <v>0</v>
      </c>
      <c r="J24" s="7">
        <v>0</v>
      </c>
      <c r="K24" s="7">
        <v>0</v>
      </c>
      <c r="L24" s="7">
        <v>0</v>
      </c>
      <c r="M24" s="108">
        <v>1</v>
      </c>
      <c r="N24" s="107">
        <v>1</v>
      </c>
      <c r="O24" s="23">
        <v>0</v>
      </c>
      <c r="P24" s="108">
        <v>0</v>
      </c>
      <c r="Q24" s="214">
        <v>3.6</v>
      </c>
      <c r="S24" t="str">
        <v>F2</v>
      </c>
      <c r="T24" t="e">
        <f ca="1"/>
        <v>#NAME?</v>
      </c>
      <c r="U24" t="e">
        <f ca="1"/>
        <v>#NAME?</v>
      </c>
      <c r="V24" t="e">
        <f t="shared" ca="1" si="5"/>
        <v>#NAME?</v>
      </c>
      <c r="W24" t="e">
        <f t="shared" ca="1" si="6"/>
        <v>#NAME?</v>
      </c>
      <c r="X24" t="e">
        <f t="shared" ca="1" si="7"/>
        <v>#NAME?</v>
      </c>
      <c r="Y24" t="e">
        <f t="shared" ca="1" si="8"/>
        <v>#NAME?</v>
      </c>
      <c r="Z24" t="e">
        <f ca="1">VIF(I3:P26,6)</f>
        <v>#NAME?</v>
      </c>
      <c r="AK24" t="str">
        <f t="shared" ref="AK24:AK27" si="14">IF(ISBLANK(A4),"",A4)</f>
        <v>Field 1</v>
      </c>
      <c r="AL24" s="301">
        <f t="shared" si="13"/>
        <v>9.7000000000000011</v>
      </c>
      <c r="AM24" s="345">
        <f t="shared" si="13"/>
        <v>19.2</v>
      </c>
      <c r="AN24" s="345">
        <f t="shared" si="13"/>
        <v>8.3000000000000007</v>
      </c>
      <c r="AO24" s="345">
        <f t="shared" si="13"/>
        <v>6.3</v>
      </c>
      <c r="AP24" s="345">
        <f t="shared" si="13"/>
        <v>6.7</v>
      </c>
      <c r="AQ24" s="303">
        <f t="shared" si="13"/>
        <v>5.8</v>
      </c>
      <c r="AR24">
        <f>AVERAGE(AL24:AQ24)</f>
        <v>9.3333333333333339</v>
      </c>
      <c r="AT24" s="191" t="s">
        <v>100</v>
      </c>
      <c r="AU24" s="191" t="s">
        <v>76</v>
      </c>
      <c r="AV24" s="191" t="s">
        <v>37</v>
      </c>
      <c r="AW24" s="191" t="s">
        <v>78</v>
      </c>
      <c r="AX24" s="191" t="s">
        <v>68</v>
      </c>
      <c r="AY24" s="191" t="s">
        <v>101</v>
      </c>
      <c r="AZ24" s="191" t="s">
        <v>102</v>
      </c>
    </row>
    <row r="25" spans="9:52" x14ac:dyDescent="0.25">
      <c r="I25" s="107">
        <v>0</v>
      </c>
      <c r="J25" s="7">
        <v>0</v>
      </c>
      <c r="K25" s="7">
        <v>0</v>
      </c>
      <c r="L25" s="7">
        <v>0</v>
      </c>
      <c r="M25" s="108">
        <v>1</v>
      </c>
      <c r="N25" s="107">
        <v>0</v>
      </c>
      <c r="O25" s="23">
        <v>1</v>
      </c>
      <c r="P25" s="108">
        <v>0</v>
      </c>
      <c r="Q25" s="214">
        <v>4.0999999999999996</v>
      </c>
      <c r="S25" t="str">
        <v>F3</v>
      </c>
      <c r="T25" t="e">
        <f ca="1"/>
        <v>#NAME?</v>
      </c>
      <c r="U25" t="e">
        <f ca="1"/>
        <v>#NAME?</v>
      </c>
      <c r="V25" t="e">
        <f t="shared" ca="1" si="5"/>
        <v>#NAME?</v>
      </c>
      <c r="W25" t="e">
        <f t="shared" ca="1" si="6"/>
        <v>#NAME?</v>
      </c>
      <c r="X25" t="e">
        <f t="shared" ca="1" si="7"/>
        <v>#NAME?</v>
      </c>
      <c r="Y25" t="e">
        <f t="shared" ca="1" si="8"/>
        <v>#NAME?</v>
      </c>
      <c r="Z25" t="e">
        <f ca="1">VIF(I3:P26,7)</f>
        <v>#NAME?</v>
      </c>
      <c r="AK25" t="str">
        <f t="shared" si="14"/>
        <v>Field 2</v>
      </c>
      <c r="AL25" s="76">
        <f t="shared" si="13"/>
        <v>13</v>
      </c>
      <c r="AM25" s="7">
        <f t="shared" si="13"/>
        <v>20.2</v>
      </c>
      <c r="AN25" s="7">
        <f t="shared" si="13"/>
        <v>6.4</v>
      </c>
      <c r="AO25" s="7">
        <f t="shared" si="13"/>
        <v>6</v>
      </c>
      <c r="AP25" s="7">
        <f t="shared" si="13"/>
        <v>5.1999999999999993</v>
      </c>
      <c r="AQ25" s="35">
        <f t="shared" si="13"/>
        <v>3.6</v>
      </c>
      <c r="AR25">
        <f t="shared" ref="AR25:AR27" si="15">AVERAGE(AL25:AQ25)</f>
        <v>9.0666666666666664</v>
      </c>
      <c r="AT25" t="s">
        <v>658</v>
      </c>
      <c r="AU25" t="e">
        <f t="array" aca="1" ref="AU25:AU27" ca="1">SS_RCBD(AL24:AQ27,FALSE)</f>
        <v>#NAME?</v>
      </c>
      <c r="AV25">
        <f>COUNT(AL24:AL27)-1</f>
        <v>3</v>
      </c>
      <c r="AW25" t="e">
        <f ca="1">AU25/AV25</f>
        <v>#NAME?</v>
      </c>
      <c r="AX25" t="e">
        <f ca="1">AW25/AW27</f>
        <v>#NAME?</v>
      </c>
      <c r="AY25" t="e">
        <f ca="1">FDIST(AX25,AV25,AV27)</f>
        <v>#NAME?</v>
      </c>
      <c r="AZ25">
        <f>FINV(AY23,AV25,AV27)</f>
        <v>3.2873821046365093</v>
      </c>
    </row>
    <row r="26" spans="9:52" x14ac:dyDescent="0.25">
      <c r="I26" s="52">
        <v>0</v>
      </c>
      <c r="J26" s="317">
        <v>0</v>
      </c>
      <c r="K26" s="317">
        <v>0</v>
      </c>
      <c r="L26" s="317">
        <v>0</v>
      </c>
      <c r="M26" s="56">
        <v>1</v>
      </c>
      <c r="N26" s="52">
        <v>0</v>
      </c>
      <c r="O26" s="317">
        <v>0</v>
      </c>
      <c r="P26" s="56">
        <v>1</v>
      </c>
      <c r="Q26" s="215">
        <v>0.2</v>
      </c>
      <c r="S26" s="317" t="str">
        <v>F4</v>
      </c>
      <c r="T26" s="317" t="e">
        <f ca="1"/>
        <v>#NAME?</v>
      </c>
      <c r="U26" s="317" t="e">
        <f ca="1"/>
        <v>#NAME?</v>
      </c>
      <c r="V26" s="317" t="e">
        <f t="shared" ca="1" si="5"/>
        <v>#NAME?</v>
      </c>
      <c r="W26" s="317" t="e">
        <f t="shared" ca="1" si="6"/>
        <v>#NAME?</v>
      </c>
      <c r="X26" s="317" t="e">
        <f t="shared" ca="1" si="7"/>
        <v>#NAME?</v>
      </c>
      <c r="Y26" s="317" t="e">
        <f t="shared" ca="1" si="8"/>
        <v>#NAME?</v>
      </c>
      <c r="Z26" s="317" t="e">
        <f ca="1">VIF(I3:P26,8)</f>
        <v>#NAME?</v>
      </c>
      <c r="AK26" t="str">
        <f t="shared" si="14"/>
        <v>Field 3</v>
      </c>
      <c r="AL26" s="76">
        <f t="shared" si="13"/>
        <v>15.6</v>
      </c>
      <c r="AM26" s="7">
        <f t="shared" si="13"/>
        <v>17.7</v>
      </c>
      <c r="AN26" s="7">
        <f t="shared" si="13"/>
        <v>6.1</v>
      </c>
      <c r="AO26" s="7">
        <f t="shared" si="13"/>
        <v>3.9999999999999996</v>
      </c>
      <c r="AP26" s="7">
        <f t="shared" si="13"/>
        <v>3.1</v>
      </c>
      <c r="AQ26" s="35">
        <f t="shared" si="13"/>
        <v>4.0999999999999996</v>
      </c>
      <c r="AR26">
        <f t="shared" si="15"/>
        <v>8.4333333333333336</v>
      </c>
      <c r="AT26" t="s">
        <v>47</v>
      </c>
      <c r="AU26" t="e">
        <f ca="1"/>
        <v>#NAME?</v>
      </c>
      <c r="AV26">
        <f>COUNT(AL24:AQ24)-1</f>
        <v>5</v>
      </c>
      <c r="AW26" t="e">
        <f ca="1">AU26/AV26</f>
        <v>#NAME?</v>
      </c>
      <c r="AX26" t="e">
        <f ca="1">AW26/AW27</f>
        <v>#NAME?</v>
      </c>
      <c r="AY26" t="e">
        <f ca="1">FDIST(AX26,AV26,AV27)</f>
        <v>#NAME?</v>
      </c>
      <c r="AZ26">
        <f>FINV(AY23,AV26,AV27)</f>
        <v>2.9012945362361564</v>
      </c>
    </row>
    <row r="27" spans="9:52" x14ac:dyDescent="0.25">
      <c r="AK27" t="str">
        <f t="shared" si="14"/>
        <v>Field 4</v>
      </c>
      <c r="AL27" s="348">
        <f t="shared" si="13"/>
        <v>7.1</v>
      </c>
      <c r="AM27" s="349">
        <f t="shared" si="13"/>
        <v>11.8</v>
      </c>
      <c r="AN27" s="349">
        <f t="shared" si="13"/>
        <v>1.7</v>
      </c>
      <c r="AO27" s="349">
        <f t="shared" si="13"/>
        <v>0.5</v>
      </c>
      <c r="AP27" s="349">
        <f t="shared" si="13"/>
        <v>0.8</v>
      </c>
      <c r="AQ27" s="350">
        <f t="shared" si="13"/>
        <v>0.2</v>
      </c>
      <c r="AR27">
        <f t="shared" si="15"/>
        <v>3.6833333333333331</v>
      </c>
      <c r="AT27" t="s">
        <v>122</v>
      </c>
      <c r="AU27" t="e">
        <f ca="1"/>
        <v>#NAME?</v>
      </c>
      <c r="AV27">
        <f>AV28-AV25-AV26</f>
        <v>15</v>
      </c>
      <c r="AW27" t="e">
        <f ca="1">AU27/AV27</f>
        <v>#NAME?</v>
      </c>
    </row>
    <row r="28" spans="9:52" x14ac:dyDescent="0.25">
      <c r="AK28" t="s">
        <v>8</v>
      </c>
      <c r="AL28">
        <f>AVERAGE(AL24:AL27)</f>
        <v>11.350000000000001</v>
      </c>
      <c r="AM28">
        <f t="shared" ref="AM28:AR28" si="16">AVERAGE(AM24:AM27)</f>
        <v>17.224999999999998</v>
      </c>
      <c r="AN28">
        <f t="shared" si="16"/>
        <v>5.625</v>
      </c>
      <c r="AO28">
        <f t="shared" si="16"/>
        <v>4.2</v>
      </c>
      <c r="AP28">
        <f t="shared" si="16"/>
        <v>3.9499999999999997</v>
      </c>
      <c r="AQ28">
        <f t="shared" si="16"/>
        <v>3.4249999999999998</v>
      </c>
      <c r="AR28">
        <f t="shared" si="16"/>
        <v>7.6291666666666664</v>
      </c>
      <c r="AT28" t="s">
        <v>1</v>
      </c>
      <c r="AU28">
        <f>DEVSQ(AL24:AQ27)</f>
        <v>776.6895833333333</v>
      </c>
      <c r="AV28">
        <f>(AV25+1)*(AV26+1)-1-AN21</f>
        <v>23</v>
      </c>
    </row>
    <row r="29" spans="9:52" x14ac:dyDescent="0.25">
      <c r="AK29" t="s">
        <v>48</v>
      </c>
      <c r="AL29">
        <f>VAR(AL24:AL27)</f>
        <v>13.856666666666646</v>
      </c>
      <c r="AM29">
        <f t="shared" ref="AM29:AR29" si="17">VAR(AM24:AM27)</f>
        <v>14.135833333333343</v>
      </c>
      <c r="AN29">
        <f t="shared" si="17"/>
        <v>7.7958333333333298</v>
      </c>
      <c r="AO29">
        <f t="shared" si="17"/>
        <v>7.1266666666666652</v>
      </c>
      <c r="AP29">
        <f t="shared" si="17"/>
        <v>6.5900000000000007</v>
      </c>
      <c r="AQ29">
        <f t="shared" si="17"/>
        <v>5.5091666666666681</v>
      </c>
      <c r="AR29">
        <f t="shared" si="17"/>
        <v>7.0622916666666713</v>
      </c>
      <c r="AT29" s="304"/>
      <c r="AU29" s="304"/>
      <c r="AV29" s="304"/>
      <c r="AW29" s="304"/>
      <c r="AX29" s="304"/>
      <c r="AY29" s="304"/>
      <c r="AZ29" s="304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H12"/>
  <sheetViews>
    <sheetView workbookViewId="0"/>
  </sheetViews>
  <sheetFormatPr defaultRowHeight="15" x14ac:dyDescent="0.25"/>
  <cols>
    <col min="1" max="1" width="7.42578125" customWidth="1"/>
    <col min="2" max="7" width="7.28515625" customWidth="1"/>
  </cols>
  <sheetData>
    <row r="1" spans="1:34" ht="15.75" thickBot="1" x14ac:dyDescent="0.3">
      <c r="A1" s="1" t="s">
        <v>806</v>
      </c>
      <c r="I1" t="s">
        <v>99</v>
      </c>
      <c r="K1" t="s">
        <v>791</v>
      </c>
      <c r="L1" s="314">
        <f>COUNT(B4:G4)*COUNT(B4:B7)-COUNT(B4:G7)</f>
        <v>0</v>
      </c>
      <c r="R1" t="s">
        <v>663</v>
      </c>
      <c r="Z1" t="s">
        <v>660</v>
      </c>
    </row>
    <row r="2" spans="1:34" ht="15.75" thickTop="1" x14ac:dyDescent="0.25">
      <c r="Z2" s="191" t="s">
        <v>47</v>
      </c>
      <c r="AA2" s="191" t="s">
        <v>23</v>
      </c>
      <c r="AB2" s="191" t="s">
        <v>6</v>
      </c>
      <c r="AC2" s="191" t="s">
        <v>16</v>
      </c>
    </row>
    <row r="3" spans="1:34" ht="15.75" thickBot="1" x14ac:dyDescent="0.3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I3" t="str">
        <f>IF(A3="","",A3)</f>
        <v/>
      </c>
      <c r="J3">
        <f t="shared" ref="J3:O3" si="0">B3</f>
        <v>5</v>
      </c>
      <c r="K3">
        <f t="shared" si="0"/>
        <v>10</v>
      </c>
      <c r="L3">
        <f t="shared" si="0"/>
        <v>15</v>
      </c>
      <c r="M3">
        <f t="shared" si="0"/>
        <v>20</v>
      </c>
      <c r="N3">
        <f t="shared" si="0"/>
        <v>25</v>
      </c>
      <c r="O3">
        <f t="shared" si="0"/>
        <v>30</v>
      </c>
      <c r="P3" s="341" t="s">
        <v>8</v>
      </c>
      <c r="R3" t="s">
        <v>84</v>
      </c>
      <c r="V3" t="s">
        <v>17</v>
      </c>
      <c r="W3">
        <v>0.05</v>
      </c>
      <c r="Z3" s="304">
        <f t="array" ref="Z3:Z8">TRANSPOSE(B3:G3)</f>
        <v>5</v>
      </c>
      <c r="AA3" s="305">
        <v>-1</v>
      </c>
      <c r="AB3" s="354">
        <f>AVERAGE(B4:B7)</f>
        <v>11.350000000000001</v>
      </c>
      <c r="AC3" s="304">
        <f>COUNT(B4:B7)</f>
        <v>4</v>
      </c>
    </row>
    <row r="4" spans="1:34" ht="15.75" thickTop="1" x14ac:dyDescent="0.25">
      <c r="A4" t="s">
        <v>653</v>
      </c>
      <c r="B4" s="364">
        <v>9.7000000000000011</v>
      </c>
      <c r="C4" s="354">
        <v>19.2</v>
      </c>
      <c r="D4" s="354">
        <v>8.3000000000000007</v>
      </c>
      <c r="E4" s="354">
        <v>6.3</v>
      </c>
      <c r="F4" s="354">
        <v>6.7</v>
      </c>
      <c r="G4" s="360">
        <v>5.8</v>
      </c>
      <c r="I4" t="str">
        <f t="shared" ref="I4:I7" si="1">A4</f>
        <v>Field 1</v>
      </c>
      <c r="J4" s="301" t="e">
        <f t="array" aca="1" ref="J4:O7" ca="1">RCBDMissing(B4:G7)</f>
        <v>#NAME?</v>
      </c>
      <c r="K4" s="345" t="e">
        <f ca="1"/>
        <v>#NAME?</v>
      </c>
      <c r="L4" s="345" t="e">
        <f ca="1"/>
        <v>#NAME?</v>
      </c>
      <c r="M4" s="345" t="e">
        <f ca="1"/>
        <v>#NAME?</v>
      </c>
      <c r="N4" s="345" t="e">
        <f ca="1"/>
        <v>#NAME?</v>
      </c>
      <c r="O4" s="303" t="e">
        <f ca="1"/>
        <v>#NAME?</v>
      </c>
      <c r="P4" t="e">
        <f ca="1">AVERAGE(J4:O4)</f>
        <v>#NAME?</v>
      </c>
      <c r="R4" s="191" t="s">
        <v>100</v>
      </c>
      <c r="S4" s="191" t="s">
        <v>76</v>
      </c>
      <c r="T4" s="191" t="s">
        <v>37</v>
      </c>
      <c r="U4" s="191" t="s">
        <v>78</v>
      </c>
      <c r="V4" s="191" t="s">
        <v>68</v>
      </c>
      <c r="W4" s="191" t="s">
        <v>101</v>
      </c>
      <c r="X4" s="191" t="s">
        <v>102</v>
      </c>
      <c r="Z4" s="7">
        <v>10</v>
      </c>
      <c r="AA4" s="257">
        <v>1</v>
      </c>
      <c r="AB4" s="37">
        <f>AVERAGE(C4:C7)</f>
        <v>17.224999999999998</v>
      </c>
      <c r="AC4" s="7">
        <f>COUNT(C4:C7)</f>
        <v>4</v>
      </c>
    </row>
    <row r="5" spans="1:34" x14ac:dyDescent="0.25">
      <c r="A5" t="s">
        <v>654</v>
      </c>
      <c r="B5" s="165">
        <v>13</v>
      </c>
      <c r="C5" s="37">
        <v>20.2</v>
      </c>
      <c r="D5" s="37">
        <v>6.4</v>
      </c>
      <c r="E5" s="37">
        <v>6</v>
      </c>
      <c r="F5" s="37">
        <v>5.1999999999999993</v>
      </c>
      <c r="G5" s="214">
        <v>3.6</v>
      </c>
      <c r="I5" t="str">
        <f t="shared" si="1"/>
        <v>Field 2</v>
      </c>
      <c r="J5" s="76" t="e">
        <f ca="1"/>
        <v>#NAME?</v>
      </c>
      <c r="K5" s="7" t="e">
        <f ca="1"/>
        <v>#NAME?</v>
      </c>
      <c r="L5" s="7" t="e">
        <f ca="1"/>
        <v>#NAME?</v>
      </c>
      <c r="M5" s="7" t="e">
        <f ca="1"/>
        <v>#NAME?</v>
      </c>
      <c r="N5" s="7" t="e">
        <f ca="1"/>
        <v>#NAME?</v>
      </c>
      <c r="O5" s="35" t="e">
        <f ca="1"/>
        <v>#NAME?</v>
      </c>
      <c r="P5" t="e">
        <f t="shared" ref="P5:P7" ca="1" si="2">AVERAGE(J5:O5)</f>
        <v>#NAME?</v>
      </c>
      <c r="R5" t="s">
        <v>658</v>
      </c>
      <c r="S5" t="e">
        <f ca="1">(T6+1)*DEVSQ(P4:P7)-RCBDAdjSS(B4:G7,TRUE)</f>
        <v>#NAME?</v>
      </c>
      <c r="T5">
        <f ca="1">COUNT(J4:J7)-1</f>
        <v>-1</v>
      </c>
      <c r="U5" t="e">
        <f ca="1">S5/T5</f>
        <v>#NAME?</v>
      </c>
      <c r="V5" t="e">
        <f ca="1">U5/U7</f>
        <v>#NAME?</v>
      </c>
      <c r="W5" t="e">
        <f ca="1">FDIST(V5,T5,T7)</f>
        <v>#NAME?</v>
      </c>
      <c r="X5" t="e">
        <f ca="1">FINV(W3,T5,T7)</f>
        <v>#NUM!</v>
      </c>
      <c r="Z5" s="7">
        <v>15</v>
      </c>
      <c r="AA5" s="257"/>
      <c r="AB5" s="37">
        <f>AVERAGE(D4:D7)</f>
        <v>5.625</v>
      </c>
      <c r="AC5" s="7">
        <f>COUNT(D4:D7)</f>
        <v>4</v>
      </c>
    </row>
    <row r="6" spans="1:34" x14ac:dyDescent="0.25">
      <c r="A6" t="s">
        <v>655</v>
      </c>
      <c r="B6" s="165">
        <v>15.6</v>
      </c>
      <c r="C6" s="37">
        <v>17.7</v>
      </c>
      <c r="D6" s="37">
        <v>6.1</v>
      </c>
      <c r="E6" s="37">
        <v>3.9999999999999996</v>
      </c>
      <c r="F6" s="37">
        <v>3.1</v>
      </c>
      <c r="G6" s="214">
        <v>4.0999999999999996</v>
      </c>
      <c r="I6" t="str">
        <f t="shared" si="1"/>
        <v>Field 3</v>
      </c>
      <c r="J6" s="76" t="e">
        <f ca="1"/>
        <v>#NAME?</v>
      </c>
      <c r="K6" s="7" t="e">
        <f ca="1"/>
        <v>#NAME?</v>
      </c>
      <c r="L6" s="7" t="e">
        <f ca="1"/>
        <v>#NAME?</v>
      </c>
      <c r="M6" s="7" t="e">
        <f ca="1"/>
        <v>#NAME?</v>
      </c>
      <c r="N6" s="7" t="e">
        <f ca="1"/>
        <v>#NAME?</v>
      </c>
      <c r="O6" s="35" t="e">
        <f ca="1"/>
        <v>#NAME?</v>
      </c>
      <c r="P6" t="e">
        <f t="shared" ca="1" si="2"/>
        <v>#NAME?</v>
      </c>
      <c r="R6" t="s">
        <v>47</v>
      </c>
      <c r="S6" t="e">
        <f ca="1">(T5+1)*DEVSQ(J8:O8)-RCBDAdjSS(B4:G7,FALSE)</f>
        <v>#NAME?</v>
      </c>
      <c r="T6">
        <f ca="1">COUNT(J4:O4)-1</f>
        <v>-1</v>
      </c>
      <c r="U6" t="e">
        <f ca="1">S6/T6</f>
        <v>#NAME?</v>
      </c>
      <c r="V6" t="e">
        <f ca="1">U6/U7</f>
        <v>#NAME?</v>
      </c>
      <c r="W6" t="e">
        <f ca="1">FDIST(V6,T6,T7)</f>
        <v>#NAME?</v>
      </c>
      <c r="X6" t="e">
        <f ca="1">FINV(W3,T6,T7)</f>
        <v>#NUM!</v>
      </c>
      <c r="Z6" s="7">
        <v>20</v>
      </c>
      <c r="AA6" s="257"/>
      <c r="AB6" s="37">
        <f>AVERAGE(E4:E7)</f>
        <v>4.2</v>
      </c>
      <c r="AC6" s="7">
        <f>COUNT(E4:E7)</f>
        <v>4</v>
      </c>
    </row>
    <row r="7" spans="1:34" x14ac:dyDescent="0.25">
      <c r="A7" t="s">
        <v>656</v>
      </c>
      <c r="B7" s="190">
        <v>7.1</v>
      </c>
      <c r="C7" s="347">
        <v>11.8</v>
      </c>
      <c r="D7" s="347">
        <v>1.7</v>
      </c>
      <c r="E7" s="347">
        <v>0.5</v>
      </c>
      <c r="F7" s="347">
        <v>0.8</v>
      </c>
      <c r="G7" s="215">
        <v>0.2</v>
      </c>
      <c r="I7" t="str">
        <f t="shared" si="1"/>
        <v>Field 4</v>
      </c>
      <c r="J7" s="348" t="e">
        <f ca="1"/>
        <v>#NAME?</v>
      </c>
      <c r="K7" s="349" t="e">
        <f ca="1"/>
        <v>#NAME?</v>
      </c>
      <c r="L7" s="349" t="e">
        <f ca="1"/>
        <v>#NAME?</v>
      </c>
      <c r="M7" s="349" t="e">
        <f ca="1"/>
        <v>#NAME?</v>
      </c>
      <c r="N7" s="349" t="e">
        <f ca="1"/>
        <v>#NAME?</v>
      </c>
      <c r="O7" s="350" t="e">
        <f ca="1"/>
        <v>#NAME?</v>
      </c>
      <c r="P7" t="e">
        <f t="shared" ca="1" si="2"/>
        <v>#NAME?</v>
      </c>
      <c r="R7" t="s">
        <v>122</v>
      </c>
      <c r="S7" t="e">
        <f ca="1">DEVSQ(J4:O7)-S6-S5</f>
        <v>#NAME?</v>
      </c>
      <c r="T7">
        <f ca="1">T8-T5-T6</f>
        <v>1</v>
      </c>
      <c r="U7" t="e">
        <f ca="1">S7/T7</f>
        <v>#NAME?</v>
      </c>
      <c r="Z7" s="7">
        <v>25</v>
      </c>
      <c r="AA7" s="257"/>
      <c r="AB7" s="37">
        <f>AVERAGE(F4:F7)</f>
        <v>3.9499999999999997</v>
      </c>
      <c r="AC7" s="7">
        <f>COUNT(F4:F7)</f>
        <v>4</v>
      </c>
    </row>
    <row r="8" spans="1:34" x14ac:dyDescent="0.25">
      <c r="I8" t="s">
        <v>8</v>
      </c>
      <c r="J8" t="e">
        <f ca="1">AVERAGE(J4:J7)</f>
        <v>#NAME?</v>
      </c>
      <c r="K8" t="e">
        <f t="shared" ref="K8:P8" ca="1" si="3">AVERAGE(K4:K7)</f>
        <v>#NAME?</v>
      </c>
      <c r="L8" t="e">
        <f t="shared" ca="1" si="3"/>
        <v>#NAME?</v>
      </c>
      <c r="M8" t="e">
        <f t="shared" ca="1" si="3"/>
        <v>#NAME?</v>
      </c>
      <c r="N8" t="e">
        <f t="shared" ca="1" si="3"/>
        <v>#NAME?</v>
      </c>
      <c r="O8" t="e">
        <f t="shared" ca="1" si="3"/>
        <v>#NAME?</v>
      </c>
      <c r="P8" t="e">
        <f t="shared" ca="1" si="3"/>
        <v>#NAME?</v>
      </c>
      <c r="R8" t="s">
        <v>1</v>
      </c>
      <c r="S8" t="e">
        <f ca="1">S7+S6+S5</f>
        <v>#NAME?</v>
      </c>
      <c r="T8">
        <f ca="1">(T5+1)*(T6+1)-1-L1</f>
        <v>-1</v>
      </c>
      <c r="Z8" s="353">
        <v>30</v>
      </c>
      <c r="AA8" s="355"/>
      <c r="AB8" s="356">
        <f>AVERAGE(G4:G7)</f>
        <v>3.4249999999999998</v>
      </c>
      <c r="AC8" s="353">
        <f>COUNT(G4:G7)</f>
        <v>4</v>
      </c>
    </row>
    <row r="9" spans="1:34" x14ac:dyDescent="0.25">
      <c r="B9" s="7"/>
      <c r="C9" s="7"/>
      <c r="D9" s="7"/>
      <c r="E9" s="7"/>
      <c r="F9" s="7"/>
      <c r="G9" s="7"/>
      <c r="I9" t="s">
        <v>48</v>
      </c>
      <c r="J9" t="e">
        <f ca="1">VAR(J4:J7)</f>
        <v>#NAME?</v>
      </c>
      <c r="K9" t="e">
        <f t="shared" ref="K9:P9" ca="1" si="4">VAR(K4:K7)</f>
        <v>#NAME?</v>
      </c>
      <c r="L9" t="e">
        <f t="shared" ca="1" si="4"/>
        <v>#NAME?</v>
      </c>
      <c r="M9" t="e">
        <f t="shared" ca="1" si="4"/>
        <v>#NAME?</v>
      </c>
      <c r="N9" t="e">
        <f t="shared" ca="1" si="4"/>
        <v>#NAME?</v>
      </c>
      <c r="O9" t="e">
        <f t="shared" ca="1" si="4"/>
        <v>#NAME?</v>
      </c>
      <c r="P9" t="e">
        <f t="shared" ca="1" si="4"/>
        <v>#NAME?</v>
      </c>
      <c r="R9" s="304"/>
      <c r="S9" s="304"/>
      <c r="T9" s="304"/>
      <c r="U9" s="304"/>
      <c r="V9" s="304"/>
      <c r="W9" s="304"/>
      <c r="X9" s="304"/>
      <c r="AA9">
        <f>SUM(AA3:AA8)</f>
        <v>0</v>
      </c>
      <c r="AB9">
        <f>SUMPRODUCT(AA3:AA8,AB3:AB8)</f>
        <v>5.8749999999999964</v>
      </c>
      <c r="AC9">
        <f>SUMPRODUCT(ABS(AA3:AA8),AC3:AC8)/SUMPRODUCT(ABS(AA3:AA8))</f>
        <v>4</v>
      </c>
    </row>
    <row r="10" spans="1:34" ht="15.75" thickBot="1" x14ac:dyDescent="0.3">
      <c r="Z10" t="s">
        <v>498</v>
      </c>
      <c r="AE10" t="s">
        <v>17</v>
      </c>
      <c r="AF10">
        <v>0.05</v>
      </c>
    </row>
    <row r="11" spans="1:34" ht="15.75" thickTop="1" x14ac:dyDescent="0.25">
      <c r="Z11" s="191" t="s">
        <v>183</v>
      </c>
      <c r="AA11" s="191" t="s">
        <v>497</v>
      </c>
      <c r="AB11" s="191" t="s">
        <v>37</v>
      </c>
      <c r="AC11" s="191" t="s">
        <v>113</v>
      </c>
      <c r="AD11" s="191" t="s">
        <v>61</v>
      </c>
      <c r="AE11" s="191" t="s">
        <v>14</v>
      </c>
      <c r="AF11" s="191" t="s">
        <v>15</v>
      </c>
      <c r="AG11" s="191" t="s">
        <v>43</v>
      </c>
      <c r="AH11" s="191" t="s">
        <v>41</v>
      </c>
    </row>
    <row r="12" spans="1:34" x14ac:dyDescent="0.25">
      <c r="Z12" s="276" t="e">
        <f ca="1">SQRT(MSWF(B4:G7,1)/AC9)</f>
        <v>#NAME?</v>
      </c>
      <c r="AA12" s="276" t="e">
        <f ca="1">AB9/Z12</f>
        <v>#NAME?</v>
      </c>
      <c r="AB12" s="276" t="e">
        <f ca="1">dfWF(B4:G7,1)</f>
        <v>#NAME?</v>
      </c>
      <c r="AC12" s="276" t="e">
        <f ca="1">QCRIT(COUNT(AC3:AC8),AB12,AF10,2)</f>
        <v>#NAME?</v>
      </c>
      <c r="AD12" s="276" t="e">
        <f ca="1">Z12*AC12</f>
        <v>#NAME?</v>
      </c>
      <c r="AE12" s="276" t="e">
        <f ca="1">AB9-Z12*AC12</f>
        <v>#NAME?</v>
      </c>
      <c r="AF12" s="276" t="e">
        <f ca="1">AB9+Z12*AC12</f>
        <v>#NAME?</v>
      </c>
      <c r="AG12" s="276" t="e">
        <f ca="1">QDIST(ABS(AA12),COUNT(AC3:AC8),AB12)</f>
        <v>#NAME?</v>
      </c>
      <c r="AH12" s="276" t="e">
        <f ca="1">ABS(AB9)/(Z12*SQRT(AC9))</f>
        <v>#NAME?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Y26"/>
  <sheetViews>
    <sheetView workbookViewId="0"/>
  </sheetViews>
  <sheetFormatPr defaultRowHeight="15" x14ac:dyDescent="0.25"/>
  <cols>
    <col min="1" max="1" width="7.42578125" customWidth="1"/>
    <col min="2" max="7" width="7.28515625" customWidth="1"/>
    <col min="8" max="8" width="4.85546875" customWidth="1"/>
    <col min="9" max="16" width="3.85546875" customWidth="1"/>
    <col min="17" max="17" width="5.85546875" customWidth="1"/>
    <col min="19" max="19" width="16.85546875" customWidth="1"/>
    <col min="28" max="28" width="17.140625" customWidth="1"/>
  </cols>
  <sheetData>
    <row r="1" spans="1:51" x14ac:dyDescent="0.25">
      <c r="A1" s="1" t="s">
        <v>808</v>
      </c>
    </row>
    <row r="2" spans="1:51" x14ac:dyDescent="0.25">
      <c r="I2" s="341" t="s">
        <v>796</v>
      </c>
      <c r="J2" s="341" t="s">
        <v>797</v>
      </c>
      <c r="K2" s="341" t="s">
        <v>798</v>
      </c>
      <c r="L2" s="341" t="s">
        <v>799</v>
      </c>
      <c r="M2" s="341" t="s">
        <v>800</v>
      </c>
      <c r="N2" s="341" t="s">
        <v>801</v>
      </c>
      <c r="O2" s="341" t="s">
        <v>802</v>
      </c>
      <c r="P2" s="341" t="s">
        <v>803</v>
      </c>
      <c r="Q2" s="341" t="s">
        <v>804</v>
      </c>
      <c r="S2" t="s">
        <v>495</v>
      </c>
      <c r="AB2" t="s">
        <v>495</v>
      </c>
      <c r="AK2" t="s">
        <v>663</v>
      </c>
    </row>
    <row r="3" spans="1:51" x14ac:dyDescent="0.25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I3" s="299">
        <v>0</v>
      </c>
      <c r="J3" s="304">
        <v>0</v>
      </c>
      <c r="K3" s="304">
        <v>0</v>
      </c>
      <c r="L3" s="304">
        <v>0</v>
      </c>
      <c r="M3" s="300">
        <v>0</v>
      </c>
      <c r="N3" s="299">
        <v>0</v>
      </c>
      <c r="O3" s="304">
        <v>0</v>
      </c>
      <c r="P3" s="300">
        <v>0</v>
      </c>
      <c r="Q3" s="360">
        <v>9.7000000000000011</v>
      </c>
    </row>
    <row r="4" spans="1:51" ht="15.75" thickBot="1" x14ac:dyDescent="0.3">
      <c r="A4" t="s">
        <v>653</v>
      </c>
      <c r="B4" s="364">
        <v>9.7000000000000011</v>
      </c>
      <c r="C4" s="354"/>
      <c r="D4" s="354">
        <v>8.3000000000000007</v>
      </c>
      <c r="E4" s="354">
        <v>6.3</v>
      </c>
      <c r="F4" s="354">
        <v>6.7</v>
      </c>
      <c r="G4" s="360">
        <v>5.8</v>
      </c>
      <c r="I4" s="107">
        <v>0</v>
      </c>
      <c r="J4" s="7">
        <v>0</v>
      </c>
      <c r="K4" s="7">
        <v>0</v>
      </c>
      <c r="L4" s="7">
        <v>0</v>
      </c>
      <c r="M4" s="108">
        <v>0</v>
      </c>
      <c r="N4" s="107">
        <v>1</v>
      </c>
      <c r="O4" s="23">
        <v>0</v>
      </c>
      <c r="P4" s="108">
        <v>0</v>
      </c>
      <c r="Q4" s="214">
        <v>13</v>
      </c>
      <c r="S4" s="179" t="s">
        <v>496</v>
      </c>
      <c r="T4" s="179"/>
      <c r="V4" s="179"/>
      <c r="W4" s="179"/>
      <c r="AB4" s="179" t="s">
        <v>496</v>
      </c>
      <c r="AC4" s="179"/>
      <c r="AE4" s="179"/>
      <c r="AF4" s="179"/>
      <c r="AK4" s="23" t="s">
        <v>788</v>
      </c>
      <c r="AS4" t="s">
        <v>809</v>
      </c>
      <c r="AW4" s="341" t="s">
        <v>17</v>
      </c>
      <c r="AX4" s="341">
        <v>0.05</v>
      </c>
    </row>
    <row r="5" spans="1:51" ht="15.75" thickTop="1" x14ac:dyDescent="0.25">
      <c r="A5" t="s">
        <v>654</v>
      </c>
      <c r="B5" s="165">
        <v>13</v>
      </c>
      <c r="C5" s="37">
        <v>20.2</v>
      </c>
      <c r="D5" s="37">
        <v>6.4</v>
      </c>
      <c r="E5" s="37">
        <v>6</v>
      </c>
      <c r="F5" s="37">
        <v>5.1999999999999993</v>
      </c>
      <c r="G5" s="214">
        <v>3.6</v>
      </c>
      <c r="I5" s="107">
        <v>0</v>
      </c>
      <c r="J5" s="7">
        <v>0</v>
      </c>
      <c r="K5" s="7">
        <v>0</v>
      </c>
      <c r="L5" s="7">
        <v>0</v>
      </c>
      <c r="M5" s="108">
        <v>0</v>
      </c>
      <c r="N5" s="107">
        <v>0</v>
      </c>
      <c r="O5" s="23">
        <v>1</v>
      </c>
      <c r="P5" s="108">
        <v>0</v>
      </c>
      <c r="Q5" s="214">
        <v>15.6</v>
      </c>
      <c r="S5" t="s">
        <v>82</v>
      </c>
      <c r="T5" t="e">
        <f ca="1">SQRT(T6)</f>
        <v>#NAME?</v>
      </c>
      <c r="V5" t="s">
        <v>142</v>
      </c>
      <c r="W5" t="e">
        <f ca="1">T9*LN(U14/T9)+2*(T13+1)</f>
        <v>#NAME?</v>
      </c>
      <c r="AB5" t="s">
        <v>82</v>
      </c>
      <c r="AC5" t="e">
        <f ca="1">SQRT(AC6)</f>
        <v>#NAME?</v>
      </c>
      <c r="AE5" t="s">
        <v>142</v>
      </c>
      <c r="AF5" t="e">
        <f ca="1">AC9*LN(AD14/AC9)+2*(AC13+1)</f>
        <v>#NAME?</v>
      </c>
      <c r="AS5" s="191"/>
      <c r="AT5" s="191" t="s">
        <v>37</v>
      </c>
      <c r="AU5" s="191" t="s">
        <v>76</v>
      </c>
      <c r="AV5" s="191" t="s">
        <v>78</v>
      </c>
      <c r="AW5" s="191" t="s">
        <v>68</v>
      </c>
      <c r="AX5" s="191" t="s">
        <v>43</v>
      </c>
      <c r="AY5" s="191" t="s">
        <v>111</v>
      </c>
    </row>
    <row r="6" spans="1:51" ht="15.75" thickBot="1" x14ac:dyDescent="0.3">
      <c r="A6" t="s">
        <v>655</v>
      </c>
      <c r="B6" s="165">
        <v>15.6</v>
      </c>
      <c r="C6" s="37">
        <v>17.7</v>
      </c>
      <c r="D6" s="37">
        <v>6.1</v>
      </c>
      <c r="E6" s="37">
        <v>3.9999999999999996</v>
      </c>
      <c r="F6" s="37"/>
      <c r="G6" s="214">
        <v>4.0999999999999996</v>
      </c>
      <c r="I6" s="52">
        <v>0</v>
      </c>
      <c r="J6" s="353">
        <v>0</v>
      </c>
      <c r="K6" s="353">
        <v>0</v>
      </c>
      <c r="L6" s="353">
        <v>0</v>
      </c>
      <c r="M6" s="56">
        <v>0</v>
      </c>
      <c r="N6" s="52">
        <v>0</v>
      </c>
      <c r="O6" s="353">
        <v>0</v>
      </c>
      <c r="P6" s="56">
        <v>1</v>
      </c>
      <c r="Q6" s="215">
        <v>7.1</v>
      </c>
      <c r="S6" t="s">
        <v>80</v>
      </c>
      <c r="T6" t="e">
        <f ca="1">U13/U15</f>
        <v>#NAME?</v>
      </c>
      <c r="V6" t="s">
        <v>143</v>
      </c>
      <c r="W6" t="e">
        <f ca="1">W5+2*(T13+2)*(T13+3)/(T9-T13-3)</f>
        <v>#NAME?</v>
      </c>
      <c r="AB6" t="s">
        <v>80</v>
      </c>
      <c r="AC6" t="e">
        <f ca="1">AD13/AD15</f>
        <v>#NAME?</v>
      </c>
      <c r="AE6" t="s">
        <v>143</v>
      </c>
      <c r="AF6" t="e">
        <f ca="1">AF5+2*(AC13+2)*(AC13+3)/(AC9-AC13-3)</f>
        <v>#NAME?</v>
      </c>
      <c r="AK6" t="s">
        <v>84</v>
      </c>
      <c r="AO6" t="s">
        <v>17</v>
      </c>
      <c r="AP6">
        <v>0.05</v>
      </c>
      <c r="AS6" t="s">
        <v>77</v>
      </c>
      <c r="AT6">
        <v>8</v>
      </c>
      <c r="AU6">
        <v>586.7283901515151</v>
      </c>
      <c r="AV6">
        <v>73.341048768939388</v>
      </c>
      <c r="AW6">
        <v>28.623224171957794</v>
      </c>
      <c r="AX6">
        <v>4.8751475023368699E-7</v>
      </c>
      <c r="AY6" s="341" t="s">
        <v>810</v>
      </c>
    </row>
    <row r="7" spans="1:51" ht="15.75" thickTop="1" x14ac:dyDescent="0.25">
      <c r="A7" t="s">
        <v>656</v>
      </c>
      <c r="B7" s="190">
        <v>7.1</v>
      </c>
      <c r="C7" s="356">
        <v>11.8</v>
      </c>
      <c r="D7" s="356">
        <v>1.7</v>
      </c>
      <c r="E7" s="356">
        <v>0.5</v>
      </c>
      <c r="F7" s="356">
        <v>0.8</v>
      </c>
      <c r="G7" s="215">
        <v>0.2</v>
      </c>
      <c r="I7" s="107">
        <v>1</v>
      </c>
      <c r="J7" s="7">
        <v>0</v>
      </c>
      <c r="K7" s="7">
        <v>0</v>
      </c>
      <c r="L7" s="7">
        <v>0</v>
      </c>
      <c r="M7" s="108">
        <v>0</v>
      </c>
      <c r="N7" s="107">
        <v>1</v>
      </c>
      <c r="O7" s="23">
        <v>0</v>
      </c>
      <c r="P7" s="108">
        <v>0</v>
      </c>
      <c r="Q7" s="214">
        <v>20.2</v>
      </c>
      <c r="S7" t="s">
        <v>83</v>
      </c>
      <c r="T7" t="e">
        <f ca="1">1-(1-T6)*(T9-1)/(T9-T13-1)</f>
        <v>#NAME?</v>
      </c>
      <c r="V7" s="353" t="s">
        <v>647</v>
      </c>
      <c r="W7" s="353" t="e">
        <f ca="1">T9*LN(U14/T9)+(T13+1)*LN(T9)</f>
        <v>#NAME?</v>
      </c>
      <c r="AB7" t="s">
        <v>83</v>
      </c>
      <c r="AC7" t="e">
        <f ca="1">1-(1-AC6)*(AC9-1)/(AC9-AC13-1)</f>
        <v>#NAME?</v>
      </c>
      <c r="AE7" s="353" t="s">
        <v>647</v>
      </c>
      <c r="AF7" s="353" t="e">
        <f ca="1">AC9*LN(AD14/AC9)+(AC13+1)*LN(AC9)</f>
        <v>#NAME?</v>
      </c>
      <c r="AK7" s="191" t="s">
        <v>100</v>
      </c>
      <c r="AL7" s="191" t="s">
        <v>76</v>
      </c>
      <c r="AM7" s="191" t="s">
        <v>37</v>
      </c>
      <c r="AN7" s="191" t="s">
        <v>78</v>
      </c>
      <c r="AO7" s="191" t="s">
        <v>68</v>
      </c>
      <c r="AP7" s="191" t="s">
        <v>101</v>
      </c>
      <c r="AQ7" s="191" t="s">
        <v>102</v>
      </c>
      <c r="AS7" t="s">
        <v>85</v>
      </c>
      <c r="AT7">
        <v>13</v>
      </c>
      <c r="AU7">
        <v>33.309791666666683</v>
      </c>
      <c r="AV7">
        <v>2.5622916666666677</v>
      </c>
    </row>
    <row r="8" spans="1:51" x14ac:dyDescent="0.25">
      <c r="I8" s="107">
        <v>1</v>
      </c>
      <c r="J8" s="7">
        <v>0</v>
      </c>
      <c r="K8" s="7">
        <v>0</v>
      </c>
      <c r="L8" s="7">
        <v>0</v>
      </c>
      <c r="M8" s="108">
        <v>0</v>
      </c>
      <c r="N8" s="107">
        <v>0</v>
      </c>
      <c r="O8" s="23">
        <v>1</v>
      </c>
      <c r="P8" s="108">
        <v>0</v>
      </c>
      <c r="Q8" s="214">
        <v>17.7</v>
      </c>
      <c r="S8" t="s">
        <v>9</v>
      </c>
      <c r="T8" t="e">
        <f ca="1">SQRT(V14)</f>
        <v>#NAME?</v>
      </c>
      <c r="AB8" t="s">
        <v>9</v>
      </c>
      <c r="AC8" t="e">
        <f ca="1">SQRT(AE14)</f>
        <v>#NAME?</v>
      </c>
      <c r="AK8" t="s">
        <v>658</v>
      </c>
      <c r="AL8" t="e">
        <f ca="1">U13-AL9</f>
        <v>#NAME?</v>
      </c>
      <c r="AM8">
        <f>T13-AM9</f>
        <v>3</v>
      </c>
      <c r="AN8" t="e">
        <f ca="1">AL8/AM8</f>
        <v>#NAME?</v>
      </c>
      <c r="AO8" t="e">
        <f ca="1">AN8/AN10</f>
        <v>#NAME?</v>
      </c>
      <c r="AP8" t="e">
        <f ca="1">FDIST(AO8,AM8,AM10)</f>
        <v>#NAME?</v>
      </c>
      <c r="AQ8">
        <f>FINV(AP6,AM8,AM10)</f>
        <v>3.4105336446278485</v>
      </c>
      <c r="AS8" s="353" t="s">
        <v>1</v>
      </c>
      <c r="AT8" s="353">
        <v>21</v>
      </c>
      <c r="AU8" s="353">
        <v>620.03818181818178</v>
      </c>
      <c r="AV8" s="353"/>
      <c r="AW8" s="353"/>
      <c r="AX8" s="353"/>
      <c r="AY8" s="353"/>
    </row>
    <row r="9" spans="1:51" x14ac:dyDescent="0.25">
      <c r="B9" s="7"/>
      <c r="C9" s="7"/>
      <c r="D9" s="7"/>
      <c r="E9" s="7"/>
      <c r="F9" s="7"/>
      <c r="G9" s="7"/>
      <c r="I9" s="52">
        <v>1</v>
      </c>
      <c r="J9" s="353">
        <v>0</v>
      </c>
      <c r="K9" s="353">
        <v>0</v>
      </c>
      <c r="L9" s="353">
        <v>0</v>
      </c>
      <c r="M9" s="56">
        <v>0</v>
      </c>
      <c r="N9" s="52">
        <v>0</v>
      </c>
      <c r="O9" s="353">
        <v>0</v>
      </c>
      <c r="P9" s="56">
        <v>1</v>
      </c>
      <c r="Q9" s="215">
        <v>11.8</v>
      </c>
      <c r="S9" s="353" t="s">
        <v>49</v>
      </c>
      <c r="T9" s="353">
        <f>COUNT(Q3:Q24)</f>
        <v>22</v>
      </c>
      <c r="AB9" s="353" t="s">
        <v>49</v>
      </c>
      <c r="AC9" s="353">
        <f>COUNT(Q3:Q24)</f>
        <v>22</v>
      </c>
      <c r="AK9" t="s">
        <v>47</v>
      </c>
      <c r="AL9" t="e">
        <f ca="1">AD13</f>
        <v>#NAME?</v>
      </c>
      <c r="AM9">
        <f>AC13</f>
        <v>5</v>
      </c>
      <c r="AN9" t="e">
        <f ca="1">AL9/AM9</f>
        <v>#NAME?</v>
      </c>
      <c r="AO9" t="e">
        <f ca="1">AN9/AN10</f>
        <v>#NAME?</v>
      </c>
      <c r="AP9" t="e">
        <f ca="1">FDIST(AO9,AM9,AM10)</f>
        <v>#NAME?</v>
      </c>
      <c r="AQ9">
        <f>FINV(AP6,AM9,AM10)</f>
        <v>3.0254383000982594</v>
      </c>
    </row>
    <row r="10" spans="1:51" ht="15.75" thickBot="1" x14ac:dyDescent="0.3">
      <c r="I10" s="299">
        <v>0</v>
      </c>
      <c r="J10" s="304">
        <v>1</v>
      </c>
      <c r="K10" s="304">
        <v>0</v>
      </c>
      <c r="L10" s="304">
        <v>0</v>
      </c>
      <c r="M10" s="300">
        <v>0</v>
      </c>
      <c r="N10" s="299">
        <v>0</v>
      </c>
      <c r="O10" s="304">
        <v>0</v>
      </c>
      <c r="P10" s="300">
        <v>0</v>
      </c>
      <c r="Q10" s="361">
        <v>8.3000000000000007</v>
      </c>
      <c r="AK10" t="s">
        <v>122</v>
      </c>
      <c r="AL10" t="e">
        <f ca="1">U14</f>
        <v>#NAME?</v>
      </c>
      <c r="AM10">
        <f>T14</f>
        <v>13</v>
      </c>
      <c r="AN10" t="e">
        <f ca="1">AL10/AM10</f>
        <v>#NAME?</v>
      </c>
      <c r="AS10" t="s">
        <v>811</v>
      </c>
      <c r="AW10" s="341" t="s">
        <v>17</v>
      </c>
      <c r="AX10" s="341">
        <v>0.05</v>
      </c>
    </row>
    <row r="11" spans="1:51" ht="16.5" thickTop="1" thickBot="1" x14ac:dyDescent="0.3">
      <c r="I11" s="107">
        <v>0</v>
      </c>
      <c r="J11" s="7">
        <v>1</v>
      </c>
      <c r="K11" s="7">
        <v>0</v>
      </c>
      <c r="L11" s="7">
        <v>0</v>
      </c>
      <c r="M11" s="108">
        <v>0</v>
      </c>
      <c r="N11" s="107">
        <v>1</v>
      </c>
      <c r="O11" s="23">
        <v>0</v>
      </c>
      <c r="P11" s="108">
        <v>0</v>
      </c>
      <c r="Q11" s="362">
        <v>6.4</v>
      </c>
      <c r="S11" t="s">
        <v>84</v>
      </c>
      <c r="W11" s="341" t="s">
        <v>17</v>
      </c>
      <c r="X11" s="341">
        <v>0.05</v>
      </c>
      <c r="AB11" t="s">
        <v>84</v>
      </c>
      <c r="AF11" s="341" t="s">
        <v>17</v>
      </c>
      <c r="AG11" s="341">
        <v>0.05</v>
      </c>
      <c r="AK11" s="353" t="s">
        <v>1</v>
      </c>
      <c r="AL11" s="353">
        <f>U15</f>
        <v>620.03818181818178</v>
      </c>
      <c r="AM11" s="353">
        <f>T15</f>
        <v>21</v>
      </c>
      <c r="AN11" s="353"/>
      <c r="AO11" s="353"/>
      <c r="AP11" s="353"/>
      <c r="AQ11" s="353"/>
      <c r="AS11" s="191"/>
      <c r="AT11" s="191" t="s">
        <v>37</v>
      </c>
      <c r="AU11" s="191" t="s">
        <v>76</v>
      </c>
      <c r="AV11" s="191" t="s">
        <v>78</v>
      </c>
      <c r="AW11" s="191" t="s">
        <v>68</v>
      </c>
      <c r="AX11" s="191" t="s">
        <v>43</v>
      </c>
      <c r="AY11" s="191" t="s">
        <v>111</v>
      </c>
    </row>
    <row r="12" spans="1:51" ht="15.75" thickTop="1" x14ac:dyDescent="0.25">
      <c r="I12" s="107">
        <v>0</v>
      </c>
      <c r="J12" s="7">
        <v>1</v>
      </c>
      <c r="K12" s="7">
        <v>0</v>
      </c>
      <c r="L12" s="7">
        <v>0</v>
      </c>
      <c r="M12" s="108">
        <v>0</v>
      </c>
      <c r="N12" s="107">
        <v>0</v>
      </c>
      <c r="O12" s="23">
        <v>1</v>
      </c>
      <c r="P12" s="108">
        <v>0</v>
      </c>
      <c r="Q12" s="362">
        <v>6.1</v>
      </c>
      <c r="S12" s="191"/>
      <c r="T12" s="191" t="s">
        <v>37</v>
      </c>
      <c r="U12" s="191" t="s">
        <v>76</v>
      </c>
      <c r="V12" s="191" t="s">
        <v>78</v>
      </c>
      <c r="W12" s="191" t="s">
        <v>68</v>
      </c>
      <c r="X12" s="191" t="s">
        <v>43</v>
      </c>
      <c r="Y12" s="191" t="s">
        <v>111</v>
      </c>
      <c r="AB12" s="191"/>
      <c r="AC12" s="191" t="s">
        <v>37</v>
      </c>
      <c r="AD12" s="191" t="s">
        <v>76</v>
      </c>
      <c r="AE12" s="191" t="s">
        <v>78</v>
      </c>
      <c r="AF12" s="191" t="s">
        <v>68</v>
      </c>
      <c r="AG12" s="191" t="s">
        <v>43</v>
      </c>
      <c r="AH12" s="191" t="s">
        <v>111</v>
      </c>
      <c r="AS12" t="s">
        <v>77</v>
      </c>
      <c r="AT12">
        <v>5</v>
      </c>
      <c r="AU12">
        <v>461.1598484848484</v>
      </c>
      <c r="AV12">
        <v>92.231969696969685</v>
      </c>
      <c r="AW12">
        <v>9.2883119062900192</v>
      </c>
      <c r="AX12">
        <v>2.6677602526425307E-4</v>
      </c>
      <c r="AY12" s="341" t="s">
        <v>810</v>
      </c>
    </row>
    <row r="13" spans="1:51" x14ac:dyDescent="0.25">
      <c r="I13" s="52">
        <v>0</v>
      </c>
      <c r="J13" s="353">
        <v>1</v>
      </c>
      <c r="K13" s="353">
        <v>0</v>
      </c>
      <c r="L13" s="353">
        <v>0</v>
      </c>
      <c r="M13" s="56">
        <v>0</v>
      </c>
      <c r="N13" s="52">
        <v>0</v>
      </c>
      <c r="O13" s="353">
        <v>0</v>
      </c>
      <c r="P13" s="56">
        <v>1</v>
      </c>
      <c r="Q13" s="363">
        <v>1.7</v>
      </c>
      <c r="S13" t="s">
        <v>77</v>
      </c>
      <c r="T13">
        <f>COUNT(I3:P3)</f>
        <v>8</v>
      </c>
      <c r="U13" t="e">
        <f ca="1">DEVSQ(MMULT(DESIGN(I3:P24),T18:T26))</f>
        <v>#NAME?</v>
      </c>
      <c r="V13" t="e">
        <f ca="1">U13/T13</f>
        <v>#NAME?</v>
      </c>
      <c r="W13" t="e">
        <f ca="1">V13/V14</f>
        <v>#NAME?</v>
      </c>
      <c r="X13" t="e">
        <f ca="1">FDIST(W13,T13,T14)</f>
        <v>#NAME?</v>
      </c>
      <c r="Y13" s="341" t="e">
        <f ca="1">IF(X13&lt;X11,"yes","no")</f>
        <v>#NAME?</v>
      </c>
      <c r="AB13" t="s">
        <v>77</v>
      </c>
      <c r="AC13">
        <f>COUNT(I3:M3)</f>
        <v>5</v>
      </c>
      <c r="AD13" t="e">
        <f ca="1">DEVSQ(MMULT(DESIGN(I3:M24),AC18:AC23))</f>
        <v>#NAME?</v>
      </c>
      <c r="AE13" t="e">
        <f ca="1">AD13/AC13</f>
        <v>#NAME?</v>
      </c>
      <c r="AF13" t="e">
        <f ca="1">AE13/AE14</f>
        <v>#NAME?</v>
      </c>
      <c r="AG13" t="e">
        <f ca="1">FDIST(AF13,AC13,AC14)</f>
        <v>#NAME?</v>
      </c>
      <c r="AH13" s="341" t="e">
        <f ca="1">IF(AG13&lt;AG11,"yes","no")</f>
        <v>#NAME?</v>
      </c>
      <c r="AS13" t="s">
        <v>85</v>
      </c>
      <c r="AT13">
        <v>16</v>
      </c>
      <c r="AU13">
        <v>158.87833333333339</v>
      </c>
      <c r="AV13">
        <v>9.9298958333333367</v>
      </c>
    </row>
    <row r="14" spans="1:51" x14ac:dyDescent="0.25">
      <c r="I14" s="299">
        <v>0</v>
      </c>
      <c r="J14" s="304">
        <v>0</v>
      </c>
      <c r="K14" s="304">
        <v>1</v>
      </c>
      <c r="L14" s="304">
        <v>0</v>
      </c>
      <c r="M14" s="300">
        <v>0</v>
      </c>
      <c r="N14" s="299">
        <v>0</v>
      </c>
      <c r="O14" s="304">
        <v>0</v>
      </c>
      <c r="P14" s="300">
        <v>0</v>
      </c>
      <c r="Q14" s="360">
        <v>6.3</v>
      </c>
      <c r="S14" t="s">
        <v>85</v>
      </c>
      <c r="T14">
        <f>T15-T13</f>
        <v>13</v>
      </c>
      <c r="U14" t="e">
        <f ca="1">U15-U13</f>
        <v>#NAME?</v>
      </c>
      <c r="V14" t="e">
        <f ca="1">U14/T14</f>
        <v>#NAME?</v>
      </c>
      <c r="AB14" t="s">
        <v>85</v>
      </c>
      <c r="AC14">
        <f>AC15-AC13</f>
        <v>16</v>
      </c>
      <c r="AD14" t="e">
        <f ca="1">AD15-AD13</f>
        <v>#NAME?</v>
      </c>
      <c r="AE14" t="e">
        <f ca="1">AD14/AC14</f>
        <v>#NAME?</v>
      </c>
      <c r="AS14" s="353" t="s">
        <v>1</v>
      </c>
      <c r="AT14" s="353">
        <v>21</v>
      </c>
      <c r="AU14" s="353">
        <v>620.03818181818178</v>
      </c>
      <c r="AV14" s="353"/>
      <c r="AW14" s="353"/>
      <c r="AX14" s="353"/>
      <c r="AY14" s="353"/>
    </row>
    <row r="15" spans="1:51" x14ac:dyDescent="0.25">
      <c r="I15" s="107">
        <v>0</v>
      </c>
      <c r="J15" s="7">
        <v>0</v>
      </c>
      <c r="K15" s="7">
        <v>1</v>
      </c>
      <c r="L15" s="7">
        <v>0</v>
      </c>
      <c r="M15" s="108">
        <v>0</v>
      </c>
      <c r="N15" s="107">
        <v>1</v>
      </c>
      <c r="O15" s="23">
        <v>0</v>
      </c>
      <c r="P15" s="108">
        <v>0</v>
      </c>
      <c r="Q15" s="214">
        <v>6</v>
      </c>
      <c r="S15" s="353" t="s">
        <v>1</v>
      </c>
      <c r="T15" s="353">
        <f>T9-1</f>
        <v>21</v>
      </c>
      <c r="U15" s="353">
        <f>DEVSQ(Q3:Q24)</f>
        <v>620.03818181818178</v>
      </c>
      <c r="V15" s="353"/>
      <c r="W15" s="353"/>
      <c r="X15" s="353"/>
      <c r="Y15" s="353"/>
      <c r="AB15" s="353" t="s">
        <v>1</v>
      </c>
      <c r="AC15" s="353">
        <f>AC9-1</f>
        <v>21</v>
      </c>
      <c r="AD15" s="353">
        <f>DEVSQ(Q3:Q24)</f>
        <v>620.03818181818178</v>
      </c>
      <c r="AE15" s="353"/>
      <c r="AF15" s="353"/>
      <c r="AG15" s="353"/>
      <c r="AH15" s="353"/>
    </row>
    <row r="16" spans="1:51" ht="15.75" thickBot="1" x14ac:dyDescent="0.3">
      <c r="I16" s="107">
        <v>0</v>
      </c>
      <c r="J16" s="7">
        <v>0</v>
      </c>
      <c r="K16" s="7">
        <v>1</v>
      </c>
      <c r="L16" s="7">
        <v>0</v>
      </c>
      <c r="M16" s="108">
        <v>0</v>
      </c>
      <c r="N16" s="107">
        <v>0</v>
      </c>
      <c r="O16" s="23">
        <v>1</v>
      </c>
      <c r="P16" s="108">
        <v>0</v>
      </c>
      <c r="Q16" s="214">
        <v>3.9999999999999996</v>
      </c>
      <c r="AS16" t="s">
        <v>812</v>
      </c>
      <c r="AW16" t="s">
        <v>17</v>
      </c>
      <c r="AX16">
        <v>0.05</v>
      </c>
    </row>
    <row r="17" spans="9:51" ht="15.75" thickTop="1" x14ac:dyDescent="0.25">
      <c r="I17" s="52">
        <v>0</v>
      </c>
      <c r="J17" s="353">
        <v>0</v>
      </c>
      <c r="K17" s="353">
        <v>1</v>
      </c>
      <c r="L17" s="353">
        <v>0</v>
      </c>
      <c r="M17" s="56">
        <v>0</v>
      </c>
      <c r="N17" s="52">
        <v>0</v>
      </c>
      <c r="O17" s="353">
        <v>0</v>
      </c>
      <c r="P17" s="56">
        <v>1</v>
      </c>
      <c r="Q17" s="215">
        <v>0.5</v>
      </c>
      <c r="S17" s="191"/>
      <c r="T17" s="191" t="s">
        <v>494</v>
      </c>
      <c r="U17" s="191" t="s">
        <v>183</v>
      </c>
      <c r="V17" s="191" t="s">
        <v>38</v>
      </c>
      <c r="W17" s="191" t="s">
        <v>43</v>
      </c>
      <c r="X17" s="191" t="s">
        <v>14</v>
      </c>
      <c r="Y17" s="191" t="s">
        <v>15</v>
      </c>
      <c r="Z17" s="191" t="s">
        <v>646</v>
      </c>
      <c r="AB17" s="191"/>
      <c r="AC17" s="191" t="s">
        <v>494</v>
      </c>
      <c r="AD17" s="191" t="s">
        <v>183</v>
      </c>
      <c r="AE17" s="191" t="s">
        <v>38</v>
      </c>
      <c r="AF17" s="191" t="s">
        <v>43</v>
      </c>
      <c r="AG17" s="191" t="s">
        <v>14</v>
      </c>
      <c r="AH17" s="191" t="s">
        <v>15</v>
      </c>
      <c r="AI17" s="191" t="s">
        <v>646</v>
      </c>
      <c r="AS17" s="191" t="s">
        <v>100</v>
      </c>
      <c r="AT17" s="191" t="s">
        <v>76</v>
      </c>
      <c r="AU17" s="191" t="s">
        <v>37</v>
      </c>
      <c r="AV17" s="191" t="s">
        <v>78</v>
      </c>
      <c r="AW17" s="191" t="s">
        <v>68</v>
      </c>
      <c r="AX17" s="191" t="s">
        <v>101</v>
      </c>
      <c r="AY17" s="191" t="s">
        <v>102</v>
      </c>
    </row>
    <row r="18" spans="9:51" x14ac:dyDescent="0.25">
      <c r="I18" s="299">
        <v>0</v>
      </c>
      <c r="J18" s="304">
        <v>0</v>
      </c>
      <c r="K18" s="304">
        <v>0</v>
      </c>
      <c r="L18" s="304">
        <v>1</v>
      </c>
      <c r="M18" s="300">
        <v>0</v>
      </c>
      <c r="N18" s="299">
        <v>0</v>
      </c>
      <c r="O18" s="304">
        <v>0</v>
      </c>
      <c r="P18" s="300">
        <v>0</v>
      </c>
      <c r="Q18" s="360">
        <v>6.7</v>
      </c>
      <c r="S18" t="s">
        <v>86</v>
      </c>
      <c r="T18" t="e">
        <f t="array" aca="1" ref="T18:U26" ca="1">RegCoeff(I3:P24,Q3:Q24)</f>
        <v>#NAME?</v>
      </c>
      <c r="U18" t="e">
        <f ca="1"/>
        <v>#NAME?</v>
      </c>
      <c r="V18" t="e">
        <f ca="1">T18/U18</f>
        <v>#NAME?</v>
      </c>
      <c r="W18" t="e">
        <f ca="1">TDIST(ABS(V18),$T$14,2)</f>
        <v>#NAME?</v>
      </c>
      <c r="X18" t="e">
        <f ca="1">T18-TINV(X$11,$T$14)*U18</f>
        <v>#NAME?</v>
      </c>
      <c r="Y18" t="e">
        <f ca="1">T18+TINV(X$11,$T$14)*U18</f>
        <v>#NAME?</v>
      </c>
      <c r="AB18" t="s">
        <v>86</v>
      </c>
      <c r="AC18" t="e">
        <f t="array" aca="1" ref="AC18:AD23" ca="1">RegCoeff(I3:M24,Q3:Q24)</f>
        <v>#NAME?</v>
      </c>
      <c r="AD18" t="e">
        <f ca="1"/>
        <v>#NAME?</v>
      </c>
      <c r="AE18" t="e">
        <f ca="1">AC18/AD18</f>
        <v>#NAME?</v>
      </c>
      <c r="AF18" t="e">
        <f ca="1">TDIST(ABS(AE18),$AC$14,2)</f>
        <v>#NAME?</v>
      </c>
      <c r="AG18" t="e">
        <f ca="1">AC18-TINV(AG$11,$AC$14)*AD18</f>
        <v>#NAME?</v>
      </c>
      <c r="AH18" t="e">
        <f ca="1">AC18+TINV(AG$11,$AC$14)*AD18</f>
        <v>#NAME?</v>
      </c>
      <c r="AS18" t="s">
        <v>658</v>
      </c>
      <c r="AT18">
        <v>125.5685416666667</v>
      </c>
      <c r="AU18">
        <v>3</v>
      </c>
      <c r="AV18">
        <v>41.856180555555568</v>
      </c>
      <c r="AW18">
        <v>16.335447326340894</v>
      </c>
      <c r="AX18">
        <v>1.0689517065824406E-4</v>
      </c>
      <c r="AY18">
        <v>3.4105336446278485</v>
      </c>
    </row>
    <row r="19" spans="9:51" x14ac:dyDescent="0.25">
      <c r="I19" s="107">
        <v>0</v>
      </c>
      <c r="J19" s="7">
        <v>0</v>
      </c>
      <c r="K19" s="7">
        <v>0</v>
      </c>
      <c r="L19" s="7">
        <v>1</v>
      </c>
      <c r="M19" s="108">
        <v>0</v>
      </c>
      <c r="N19" s="107">
        <v>1</v>
      </c>
      <c r="O19" s="23">
        <v>0</v>
      </c>
      <c r="P19" s="108">
        <v>0</v>
      </c>
      <c r="Q19" s="214">
        <v>5.1999999999999993</v>
      </c>
      <c r="S19" t="str">
        <f t="array" ref="S19:S26">TRANSPOSE(I2:P2)</f>
        <v>T10</v>
      </c>
      <c r="T19" t="e">
        <f ca="1"/>
        <v>#NAME?</v>
      </c>
      <c r="U19" t="e">
        <f ca="1"/>
        <v>#NAME?</v>
      </c>
      <c r="V19" t="e">
        <f t="shared" ref="V19:V26" ca="1" si="0">T19/U19</f>
        <v>#NAME?</v>
      </c>
      <c r="W19" t="e">
        <f t="shared" ref="W19:W26" ca="1" si="1">TDIST(ABS(V19),$T$14,2)</f>
        <v>#NAME?</v>
      </c>
      <c r="X19" t="e">
        <f t="shared" ref="X19:X26" ca="1" si="2">T19-TINV(X$11,$T$14)*U19</f>
        <v>#NAME?</v>
      </c>
      <c r="Y19" t="e">
        <f t="shared" ref="Y19:Y26" ca="1" si="3">T19+TINV(X$11,$T$14)*U19</f>
        <v>#NAME?</v>
      </c>
      <c r="Z19" t="e">
        <f ca="1">VIF(I3:P24,1)</f>
        <v>#NAME?</v>
      </c>
      <c r="AB19" t="str">
        <f t="array" ref="AB19:AB23">TRANSPOSE(I2:M2)</f>
        <v>T10</v>
      </c>
      <c r="AC19" t="e">
        <f ca="1"/>
        <v>#NAME?</v>
      </c>
      <c r="AD19" t="e">
        <f ca="1"/>
        <v>#NAME?</v>
      </c>
      <c r="AE19" t="e">
        <f t="shared" ref="AE19:AE23" ca="1" si="4">AC19/AD19</f>
        <v>#NAME?</v>
      </c>
      <c r="AF19" t="e">
        <f t="shared" ref="AF19:AF23" ca="1" si="5">TDIST(ABS(AE19),$AC$14,2)</f>
        <v>#NAME?</v>
      </c>
      <c r="AG19" t="e">
        <f t="shared" ref="AG19:AG23" ca="1" si="6">AC19-TINV(AG$11,$AC$14)*AD19</f>
        <v>#NAME?</v>
      </c>
      <c r="AH19" t="e">
        <f t="shared" ref="AH19:AH23" ca="1" si="7">AC19+TINV(AG$11,$AC$14)*AD19</f>
        <v>#NAME?</v>
      </c>
      <c r="AI19" t="e">
        <f ca="1">VIF(I3:M24,1)</f>
        <v>#NAME?</v>
      </c>
      <c r="AS19" t="s">
        <v>47</v>
      </c>
      <c r="AT19">
        <v>461.1598484848484</v>
      </c>
      <c r="AU19">
        <v>5</v>
      </c>
      <c r="AV19">
        <v>92.231969696969685</v>
      </c>
      <c r="AW19">
        <v>35.995890279327938</v>
      </c>
      <c r="AX19">
        <v>3.592396780205032E-7</v>
      </c>
      <c r="AY19">
        <v>3.0254383000982594</v>
      </c>
    </row>
    <row r="20" spans="9:51" x14ac:dyDescent="0.25">
      <c r="I20" s="52">
        <v>0</v>
      </c>
      <c r="J20" s="353">
        <v>0</v>
      </c>
      <c r="K20" s="353">
        <v>0</v>
      </c>
      <c r="L20" s="353">
        <v>1</v>
      </c>
      <c r="M20" s="56">
        <v>0</v>
      </c>
      <c r="N20" s="52">
        <v>0</v>
      </c>
      <c r="O20" s="353">
        <v>0</v>
      </c>
      <c r="P20" s="56">
        <v>1</v>
      </c>
      <c r="Q20" s="215">
        <v>0.8</v>
      </c>
      <c r="S20" t="str">
        <v>T15</v>
      </c>
      <c r="T20" t="e">
        <f ca="1"/>
        <v>#NAME?</v>
      </c>
      <c r="U20" t="e">
        <f ca="1"/>
        <v>#NAME?</v>
      </c>
      <c r="V20" t="e">
        <f t="shared" ca="1" si="0"/>
        <v>#NAME?</v>
      </c>
      <c r="W20" t="e">
        <f t="shared" ca="1" si="1"/>
        <v>#NAME?</v>
      </c>
      <c r="X20" t="e">
        <f t="shared" ca="1" si="2"/>
        <v>#NAME?</v>
      </c>
      <c r="Y20" t="e">
        <f t="shared" ca="1" si="3"/>
        <v>#NAME?</v>
      </c>
      <c r="Z20" t="e">
        <f ca="1">VIF(I3:P24,2)</f>
        <v>#NAME?</v>
      </c>
      <c r="AB20" t="str">
        <v>T15</v>
      </c>
      <c r="AC20" t="e">
        <f ca="1"/>
        <v>#NAME?</v>
      </c>
      <c r="AD20" t="e">
        <f ca="1"/>
        <v>#NAME?</v>
      </c>
      <c r="AE20" t="e">
        <f t="shared" ca="1" si="4"/>
        <v>#NAME?</v>
      </c>
      <c r="AF20" t="e">
        <f t="shared" ca="1" si="5"/>
        <v>#NAME?</v>
      </c>
      <c r="AG20" t="e">
        <f t="shared" ca="1" si="6"/>
        <v>#NAME?</v>
      </c>
      <c r="AH20" t="e">
        <f t="shared" ca="1" si="7"/>
        <v>#NAME?</v>
      </c>
      <c r="AI20" t="e">
        <f ca="1">VIF(I3:M24,2)</f>
        <v>#NAME?</v>
      </c>
      <c r="AS20" t="s">
        <v>122</v>
      </c>
      <c r="AT20">
        <v>33.309791666666683</v>
      </c>
      <c r="AU20">
        <v>13</v>
      </c>
      <c r="AV20">
        <v>2.5622916666666677</v>
      </c>
    </row>
    <row r="21" spans="9:51" x14ac:dyDescent="0.25">
      <c r="I21" s="299">
        <v>0</v>
      </c>
      <c r="J21" s="304">
        <v>0</v>
      </c>
      <c r="K21" s="304">
        <v>0</v>
      </c>
      <c r="L21" s="304">
        <v>0</v>
      </c>
      <c r="M21" s="300">
        <v>1</v>
      </c>
      <c r="N21" s="299">
        <v>0</v>
      </c>
      <c r="O21" s="304">
        <v>0</v>
      </c>
      <c r="P21" s="300">
        <v>0</v>
      </c>
      <c r="Q21" s="214">
        <v>5.8</v>
      </c>
      <c r="S21" t="str">
        <v>T20</v>
      </c>
      <c r="T21" t="e">
        <f ca="1"/>
        <v>#NAME?</v>
      </c>
      <c r="U21" t="e">
        <f ca="1"/>
        <v>#NAME?</v>
      </c>
      <c r="V21" t="e">
        <f t="shared" ca="1" si="0"/>
        <v>#NAME?</v>
      </c>
      <c r="W21" t="e">
        <f t="shared" ca="1" si="1"/>
        <v>#NAME?</v>
      </c>
      <c r="X21" t="e">
        <f t="shared" ca="1" si="2"/>
        <v>#NAME?</v>
      </c>
      <c r="Y21" t="e">
        <f t="shared" ca="1" si="3"/>
        <v>#NAME?</v>
      </c>
      <c r="Z21" t="e">
        <f ca="1">VIF(I3:P24,3)</f>
        <v>#NAME?</v>
      </c>
      <c r="AB21" t="str">
        <v>T20</v>
      </c>
      <c r="AC21" t="e">
        <f ca="1"/>
        <v>#NAME?</v>
      </c>
      <c r="AD21" t="e">
        <f ca="1"/>
        <v>#NAME?</v>
      </c>
      <c r="AE21" t="e">
        <f t="shared" ca="1" si="4"/>
        <v>#NAME?</v>
      </c>
      <c r="AF21" t="e">
        <f t="shared" ca="1" si="5"/>
        <v>#NAME?</v>
      </c>
      <c r="AG21" t="e">
        <f t="shared" ca="1" si="6"/>
        <v>#NAME?</v>
      </c>
      <c r="AH21" t="e">
        <f t="shared" ca="1" si="7"/>
        <v>#NAME?</v>
      </c>
      <c r="AI21" t="e">
        <f ca="1">VIF(I3:M24,3)</f>
        <v>#NAME?</v>
      </c>
      <c r="AS21" s="353" t="s">
        <v>1</v>
      </c>
      <c r="AT21" s="353">
        <v>620.03818181818178</v>
      </c>
      <c r="AU21" s="353">
        <v>21</v>
      </c>
      <c r="AV21" s="353"/>
      <c r="AW21" s="353"/>
      <c r="AX21" s="353"/>
      <c r="AY21" s="353"/>
    </row>
    <row r="22" spans="9:51" x14ac:dyDescent="0.25">
      <c r="I22" s="107">
        <v>0</v>
      </c>
      <c r="J22" s="7">
        <v>0</v>
      </c>
      <c r="K22" s="7">
        <v>0</v>
      </c>
      <c r="L22" s="7">
        <v>0</v>
      </c>
      <c r="M22" s="108">
        <v>1</v>
      </c>
      <c r="N22" s="107">
        <v>1</v>
      </c>
      <c r="O22" s="23">
        <v>0</v>
      </c>
      <c r="P22" s="108">
        <v>0</v>
      </c>
      <c r="Q22" s="214">
        <v>3.6</v>
      </c>
      <c r="S22" t="str">
        <v>T25</v>
      </c>
      <c r="T22" t="e">
        <f ca="1"/>
        <v>#NAME?</v>
      </c>
      <c r="U22" t="e">
        <f ca="1"/>
        <v>#NAME?</v>
      </c>
      <c r="V22" t="e">
        <f t="shared" ca="1" si="0"/>
        <v>#NAME?</v>
      </c>
      <c r="W22" t="e">
        <f t="shared" ca="1" si="1"/>
        <v>#NAME?</v>
      </c>
      <c r="X22" t="e">
        <f t="shared" ca="1" si="2"/>
        <v>#NAME?</v>
      </c>
      <c r="Y22" t="e">
        <f t="shared" ca="1" si="3"/>
        <v>#NAME?</v>
      </c>
      <c r="Z22" t="e">
        <f ca="1">VIF(I3:P24,4)</f>
        <v>#NAME?</v>
      </c>
      <c r="AB22" t="str">
        <v>T25</v>
      </c>
      <c r="AC22" t="e">
        <f ca="1"/>
        <v>#NAME?</v>
      </c>
      <c r="AD22" t="e">
        <f ca="1"/>
        <v>#NAME?</v>
      </c>
      <c r="AE22" t="e">
        <f t="shared" ca="1" si="4"/>
        <v>#NAME?</v>
      </c>
      <c r="AF22" t="e">
        <f t="shared" ca="1" si="5"/>
        <v>#NAME?</v>
      </c>
      <c r="AG22" t="e">
        <f t="shared" ca="1" si="6"/>
        <v>#NAME?</v>
      </c>
      <c r="AH22" t="e">
        <f t="shared" ca="1" si="7"/>
        <v>#NAME?</v>
      </c>
      <c r="AI22" t="e">
        <f ca="1">VIF(I3:M24,4)</f>
        <v>#NAME?</v>
      </c>
    </row>
    <row r="23" spans="9:51" x14ac:dyDescent="0.25">
      <c r="I23" s="107">
        <v>0</v>
      </c>
      <c r="J23" s="7">
        <v>0</v>
      </c>
      <c r="K23" s="7">
        <v>0</v>
      </c>
      <c r="L23" s="7">
        <v>0</v>
      </c>
      <c r="M23" s="108">
        <v>1</v>
      </c>
      <c r="N23" s="107">
        <v>0</v>
      </c>
      <c r="O23" s="23">
        <v>1</v>
      </c>
      <c r="P23" s="108">
        <v>0</v>
      </c>
      <c r="Q23" s="214">
        <v>4.0999999999999996</v>
      </c>
      <c r="S23" t="str">
        <v>T30</v>
      </c>
      <c r="T23" t="e">
        <f ca="1"/>
        <v>#NAME?</v>
      </c>
      <c r="U23" t="e">
        <f ca="1"/>
        <v>#NAME?</v>
      </c>
      <c r="V23" t="e">
        <f t="shared" ca="1" si="0"/>
        <v>#NAME?</v>
      </c>
      <c r="W23" t="e">
        <f t="shared" ca="1" si="1"/>
        <v>#NAME?</v>
      </c>
      <c r="X23" t="e">
        <f t="shared" ca="1" si="2"/>
        <v>#NAME?</v>
      </c>
      <c r="Y23" t="e">
        <f t="shared" ca="1" si="3"/>
        <v>#NAME?</v>
      </c>
      <c r="Z23" t="e">
        <f ca="1">VIF(I3:P24,5)</f>
        <v>#NAME?</v>
      </c>
      <c r="AB23" s="353" t="str">
        <v>T30</v>
      </c>
      <c r="AC23" s="353" t="e">
        <f ca="1"/>
        <v>#NAME?</v>
      </c>
      <c r="AD23" s="353" t="e">
        <f ca="1"/>
        <v>#NAME?</v>
      </c>
      <c r="AE23" s="353" t="e">
        <f t="shared" ca="1" si="4"/>
        <v>#NAME?</v>
      </c>
      <c r="AF23" s="353" t="e">
        <f t="shared" ca="1" si="5"/>
        <v>#NAME?</v>
      </c>
      <c r="AG23" s="353" t="e">
        <f t="shared" ca="1" si="6"/>
        <v>#NAME?</v>
      </c>
      <c r="AH23" s="353" t="e">
        <f t="shared" ca="1" si="7"/>
        <v>#NAME?</v>
      </c>
      <c r="AI23" s="353" t="e">
        <f ca="1">VIF(I3:M24,5)</f>
        <v>#NAME?</v>
      </c>
    </row>
    <row r="24" spans="9:51" x14ac:dyDescent="0.25">
      <c r="I24" s="52">
        <v>0</v>
      </c>
      <c r="J24" s="353">
        <v>0</v>
      </c>
      <c r="K24" s="353">
        <v>0</v>
      </c>
      <c r="L24" s="353">
        <v>0</v>
      </c>
      <c r="M24" s="56">
        <v>1</v>
      </c>
      <c r="N24" s="52">
        <v>0</v>
      </c>
      <c r="O24" s="353">
        <v>0</v>
      </c>
      <c r="P24" s="56">
        <v>1</v>
      </c>
      <c r="Q24" s="215">
        <v>0.2</v>
      </c>
      <c r="S24" t="str">
        <v>F2</v>
      </c>
      <c r="T24" t="e">
        <f ca="1"/>
        <v>#NAME?</v>
      </c>
      <c r="U24" t="e">
        <f ca="1"/>
        <v>#NAME?</v>
      </c>
      <c r="V24" t="e">
        <f t="shared" ca="1" si="0"/>
        <v>#NAME?</v>
      </c>
      <c r="W24" t="e">
        <f t="shared" ca="1" si="1"/>
        <v>#NAME?</v>
      </c>
      <c r="X24" t="e">
        <f t="shared" ca="1" si="2"/>
        <v>#NAME?</v>
      </c>
      <c r="Y24" t="e">
        <f t="shared" ca="1" si="3"/>
        <v>#NAME?</v>
      </c>
      <c r="Z24" t="e">
        <f ca="1">VIF(I3:P24,6)</f>
        <v>#NAME?</v>
      </c>
    </row>
    <row r="25" spans="9:51" x14ac:dyDescent="0.25">
      <c r="S25" t="str">
        <v>F3</v>
      </c>
      <c r="T25" t="e">
        <f ca="1"/>
        <v>#NAME?</v>
      </c>
      <c r="U25" t="e">
        <f ca="1"/>
        <v>#NAME?</v>
      </c>
      <c r="V25" t="e">
        <f t="shared" ca="1" si="0"/>
        <v>#NAME?</v>
      </c>
      <c r="W25" t="e">
        <f t="shared" ca="1" si="1"/>
        <v>#NAME?</v>
      </c>
      <c r="X25" t="e">
        <f t="shared" ca="1" si="2"/>
        <v>#NAME?</v>
      </c>
      <c r="Y25" t="e">
        <f t="shared" ca="1" si="3"/>
        <v>#NAME?</v>
      </c>
      <c r="Z25" t="e">
        <f ca="1">VIF(I3:P24,7)</f>
        <v>#NAME?</v>
      </c>
    </row>
    <row r="26" spans="9:51" x14ac:dyDescent="0.25">
      <c r="S26" s="353" t="str">
        <v>F4</v>
      </c>
      <c r="T26" s="353" t="e">
        <f ca="1"/>
        <v>#NAME?</v>
      </c>
      <c r="U26" s="353" t="e">
        <f ca="1"/>
        <v>#NAME?</v>
      </c>
      <c r="V26" s="353" t="e">
        <f t="shared" ca="1" si="0"/>
        <v>#NAME?</v>
      </c>
      <c r="W26" s="353" t="e">
        <f t="shared" ca="1" si="1"/>
        <v>#NAME?</v>
      </c>
      <c r="X26" s="353" t="e">
        <f t="shared" ca="1" si="2"/>
        <v>#NAME?</v>
      </c>
      <c r="Y26" s="353" t="e">
        <f t="shared" ca="1" si="3"/>
        <v>#NAME?</v>
      </c>
      <c r="Z26" s="353" t="e">
        <f ca="1">VIF(I3:P24,8)</f>
        <v>#NAME?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P19"/>
  <sheetViews>
    <sheetView workbookViewId="0"/>
  </sheetViews>
  <sheetFormatPr defaultRowHeight="15" x14ac:dyDescent="0.25"/>
  <cols>
    <col min="1" max="1" width="7.42578125" customWidth="1"/>
    <col min="2" max="7" width="7.28515625" customWidth="1"/>
  </cols>
  <sheetData>
    <row r="1" spans="1:16" x14ac:dyDescent="0.25">
      <c r="A1" s="1" t="s">
        <v>813</v>
      </c>
    </row>
    <row r="2" spans="1:16" x14ac:dyDescent="0.25">
      <c r="I2" t="s">
        <v>99</v>
      </c>
    </row>
    <row r="3" spans="1:16" x14ac:dyDescent="0.25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</row>
    <row r="4" spans="1:16" x14ac:dyDescent="0.25">
      <c r="A4" t="s">
        <v>653</v>
      </c>
      <c r="B4" s="364">
        <v>9.7000000000000011</v>
      </c>
      <c r="C4" s="354"/>
      <c r="D4" s="354">
        <v>8.3000000000000007</v>
      </c>
      <c r="E4" s="354">
        <v>6.3</v>
      </c>
      <c r="F4" s="354">
        <v>6.7</v>
      </c>
      <c r="G4" s="360">
        <v>5.8</v>
      </c>
      <c r="I4" t="str">
        <f>IF(A3="","",A3)</f>
        <v/>
      </c>
      <c r="J4">
        <f t="shared" ref="J4:O8" si="0">IF(ISBLANK(B3),"",B3)</f>
        <v>5</v>
      </c>
      <c r="K4">
        <f t="shared" si="0"/>
        <v>10</v>
      </c>
      <c r="L4">
        <f t="shared" si="0"/>
        <v>15</v>
      </c>
      <c r="M4">
        <f t="shared" si="0"/>
        <v>20</v>
      </c>
      <c r="N4">
        <f t="shared" si="0"/>
        <v>25</v>
      </c>
      <c r="O4">
        <f t="shared" si="0"/>
        <v>30</v>
      </c>
      <c r="P4" s="341" t="s">
        <v>8</v>
      </c>
    </row>
    <row r="5" spans="1:16" x14ac:dyDescent="0.25">
      <c r="A5" t="s">
        <v>654</v>
      </c>
      <c r="B5" s="165">
        <v>13</v>
      </c>
      <c r="C5" s="37">
        <v>20.2</v>
      </c>
      <c r="D5" s="37">
        <v>6.4</v>
      </c>
      <c r="E5" s="37">
        <v>6</v>
      </c>
      <c r="F5" s="37">
        <v>5.1999999999999993</v>
      </c>
      <c r="G5" s="214">
        <v>3.6</v>
      </c>
      <c r="I5" t="str">
        <f t="shared" ref="I5:I8" si="1">IF(ISBLANK(A4),"",A4)</f>
        <v>Field 1</v>
      </c>
      <c r="J5" s="301">
        <f t="shared" si="0"/>
        <v>9.7000000000000011</v>
      </c>
      <c r="K5" s="345" t="str">
        <f t="shared" si="0"/>
        <v/>
      </c>
      <c r="L5" s="345">
        <f t="shared" si="0"/>
        <v>8.3000000000000007</v>
      </c>
      <c r="M5" s="345">
        <f t="shared" si="0"/>
        <v>6.3</v>
      </c>
      <c r="N5" s="345">
        <f t="shared" si="0"/>
        <v>6.7</v>
      </c>
      <c r="O5" s="303">
        <f t="shared" si="0"/>
        <v>5.8</v>
      </c>
      <c r="P5">
        <f>AVERAGE(J5:O5)</f>
        <v>7.3599999999999994</v>
      </c>
    </row>
    <row r="6" spans="1:16" x14ac:dyDescent="0.25">
      <c r="A6" t="s">
        <v>655</v>
      </c>
      <c r="B6" s="165">
        <v>15.6</v>
      </c>
      <c r="C6" s="37">
        <v>17.7</v>
      </c>
      <c r="D6" s="37">
        <v>6.1</v>
      </c>
      <c r="E6" s="37">
        <v>3.9999999999999996</v>
      </c>
      <c r="F6" s="37"/>
      <c r="G6" s="214">
        <v>4.0999999999999996</v>
      </c>
      <c r="I6" t="str">
        <f t="shared" si="1"/>
        <v>Field 2</v>
      </c>
      <c r="J6" s="76">
        <f t="shared" si="0"/>
        <v>13</v>
      </c>
      <c r="K6" s="7">
        <f t="shared" si="0"/>
        <v>20.2</v>
      </c>
      <c r="L6" s="7">
        <f t="shared" si="0"/>
        <v>6.4</v>
      </c>
      <c r="M6" s="7">
        <f t="shared" si="0"/>
        <v>6</v>
      </c>
      <c r="N6" s="7">
        <f t="shared" si="0"/>
        <v>5.1999999999999993</v>
      </c>
      <c r="O6" s="35">
        <f t="shared" si="0"/>
        <v>3.6</v>
      </c>
      <c r="P6">
        <f t="shared" ref="P6:P8" si="2">AVERAGE(J6:O6)</f>
        <v>9.0666666666666664</v>
      </c>
    </row>
    <row r="7" spans="1:16" x14ac:dyDescent="0.25">
      <c r="A7" t="s">
        <v>656</v>
      </c>
      <c r="B7" s="190">
        <v>7.1</v>
      </c>
      <c r="C7" s="356">
        <v>11.8</v>
      </c>
      <c r="D7" s="356">
        <v>1.7</v>
      </c>
      <c r="E7" s="356">
        <v>0.5</v>
      </c>
      <c r="F7" s="356">
        <v>0.8</v>
      </c>
      <c r="G7" s="215">
        <v>0.2</v>
      </c>
      <c r="I7" t="str">
        <f t="shared" si="1"/>
        <v>Field 3</v>
      </c>
      <c r="J7" s="76">
        <f t="shared" si="0"/>
        <v>15.6</v>
      </c>
      <c r="K7" s="7">
        <f t="shared" si="0"/>
        <v>17.7</v>
      </c>
      <c r="L7" s="7">
        <f t="shared" si="0"/>
        <v>6.1</v>
      </c>
      <c r="M7" s="7">
        <f t="shared" si="0"/>
        <v>3.9999999999999996</v>
      </c>
      <c r="N7" s="7" t="str">
        <f t="shared" si="0"/>
        <v/>
      </c>
      <c r="O7" s="35">
        <f t="shared" si="0"/>
        <v>4.0999999999999996</v>
      </c>
      <c r="P7">
        <f t="shared" si="2"/>
        <v>9.5</v>
      </c>
    </row>
    <row r="8" spans="1:16" x14ac:dyDescent="0.25">
      <c r="I8" t="str">
        <f t="shared" si="1"/>
        <v>Field 4</v>
      </c>
      <c r="J8" s="348">
        <f t="shared" si="0"/>
        <v>7.1</v>
      </c>
      <c r="K8" s="349">
        <f t="shared" si="0"/>
        <v>11.8</v>
      </c>
      <c r="L8" s="349">
        <f t="shared" si="0"/>
        <v>1.7</v>
      </c>
      <c r="M8" s="349">
        <f t="shared" si="0"/>
        <v>0.5</v>
      </c>
      <c r="N8" s="349">
        <f t="shared" si="0"/>
        <v>0.8</v>
      </c>
      <c r="O8" s="350">
        <f t="shared" si="0"/>
        <v>0.2</v>
      </c>
      <c r="P8">
        <f t="shared" si="2"/>
        <v>3.6833333333333331</v>
      </c>
    </row>
    <row r="9" spans="1:16" x14ac:dyDescent="0.25">
      <c r="B9" s="7"/>
      <c r="C9" s="7"/>
      <c r="D9" s="7"/>
      <c r="E9" s="7"/>
      <c r="F9" s="7"/>
      <c r="G9" s="7"/>
      <c r="I9" t="s">
        <v>8</v>
      </c>
      <c r="J9">
        <f>AVERAGE(J5:J8)</f>
        <v>11.350000000000001</v>
      </c>
      <c r="K9">
        <f t="shared" ref="K9:P9" si="3">AVERAGE(K5:K8)</f>
        <v>16.566666666666666</v>
      </c>
      <c r="L9">
        <f t="shared" si="3"/>
        <v>5.625</v>
      </c>
      <c r="M9">
        <f t="shared" si="3"/>
        <v>4.2</v>
      </c>
      <c r="N9">
        <f t="shared" si="3"/>
        <v>4.2333333333333334</v>
      </c>
      <c r="O9">
        <f t="shared" si="3"/>
        <v>3.4249999999999998</v>
      </c>
      <c r="P9">
        <f t="shared" si="3"/>
        <v>7.4024999999999999</v>
      </c>
    </row>
    <row r="10" spans="1:16" x14ac:dyDescent="0.25">
      <c r="I10" t="s">
        <v>48</v>
      </c>
      <c r="J10">
        <f>VAR(J5:J8)</f>
        <v>13.856666666666646</v>
      </c>
      <c r="K10">
        <f t="shared" ref="K10:P10" si="4">VAR(K5:K8)</f>
        <v>18.603333333333296</v>
      </c>
      <c r="L10">
        <f t="shared" si="4"/>
        <v>7.7958333333333298</v>
      </c>
      <c r="M10">
        <f t="shared" si="4"/>
        <v>7.1266666666666652</v>
      </c>
      <c r="N10">
        <f t="shared" si="4"/>
        <v>9.4033333333333324</v>
      </c>
      <c r="O10">
        <f t="shared" si="4"/>
        <v>5.5091666666666681</v>
      </c>
      <c r="P10">
        <f t="shared" si="4"/>
        <v>7.0009879629629568</v>
      </c>
    </row>
    <row r="12" spans="1:16" x14ac:dyDescent="0.25">
      <c r="I12" t="s">
        <v>805</v>
      </c>
    </row>
    <row r="14" spans="1:16" ht="15.75" thickBot="1" x14ac:dyDescent="0.3">
      <c r="I14" t="s">
        <v>84</v>
      </c>
      <c r="M14" t="s">
        <v>17</v>
      </c>
      <c r="N14">
        <v>0.05</v>
      </c>
    </row>
    <row r="15" spans="1:16" ht="15.75" thickTop="1" x14ac:dyDescent="0.25">
      <c r="I15" s="191" t="s">
        <v>100</v>
      </c>
      <c r="J15" s="191" t="s">
        <v>76</v>
      </c>
      <c r="K15" s="191" t="s">
        <v>37</v>
      </c>
      <c r="L15" s="191" t="s">
        <v>78</v>
      </c>
      <c r="M15" s="191" t="s">
        <v>68</v>
      </c>
      <c r="N15" s="191" t="s">
        <v>101</v>
      </c>
      <c r="O15" s="191" t="s">
        <v>102</v>
      </c>
    </row>
    <row r="16" spans="1:16" x14ac:dyDescent="0.25">
      <c r="I16" t="s">
        <v>658</v>
      </c>
      <c r="J16" t="e">
        <f t="array" aca="1" ref="J16:J18" ca="1">SS_RCBD(J5:O8,FALSE)</f>
        <v>#NAME?</v>
      </c>
      <c r="K16">
        <f>ROWS(J5:O8)-1</f>
        <v>3</v>
      </c>
      <c r="L16" t="e">
        <f ca="1">J16/K16</f>
        <v>#NAME?</v>
      </c>
      <c r="M16" t="e">
        <f ca="1">L16/L18</f>
        <v>#NAME?</v>
      </c>
      <c r="N16" t="e">
        <f ca="1">FDIST(M16,K16,K18)</f>
        <v>#NAME?</v>
      </c>
      <c r="O16">
        <f>FINV(N14,K16,K18)</f>
        <v>3.4105336446278485</v>
      </c>
    </row>
    <row r="17" spans="9:15" x14ac:dyDescent="0.25">
      <c r="I17" t="s">
        <v>47</v>
      </c>
      <c r="J17" t="e">
        <f ca="1"/>
        <v>#NAME?</v>
      </c>
      <c r="K17">
        <f>COLUMNS(J5:O8)-1</f>
        <v>5</v>
      </c>
      <c r="L17" t="e">
        <f ca="1">J17/K17</f>
        <v>#NAME?</v>
      </c>
      <c r="M17" t="e">
        <f ca="1">L17/L18</f>
        <v>#NAME?</v>
      </c>
      <c r="N17" t="e">
        <f ca="1">FDIST(M17,K17,K18)</f>
        <v>#NAME?</v>
      </c>
      <c r="O17">
        <f>FINV(N14,K17,K18)</f>
        <v>3.0254383000982594</v>
      </c>
    </row>
    <row r="18" spans="9:15" x14ac:dyDescent="0.25">
      <c r="I18" t="s">
        <v>122</v>
      </c>
      <c r="J18" t="e">
        <f ca="1"/>
        <v>#NAME?</v>
      </c>
      <c r="K18">
        <f>K19-K16-K17</f>
        <v>13</v>
      </c>
      <c r="L18" t="e">
        <f ca="1">J18/K18</f>
        <v>#NAME?</v>
      </c>
    </row>
    <row r="19" spans="9:15" x14ac:dyDescent="0.25">
      <c r="I19" s="353" t="s">
        <v>1</v>
      </c>
      <c r="J19" s="353">
        <f>DEVSQ(J5:O8)</f>
        <v>620.03818181818167</v>
      </c>
      <c r="K19" s="353">
        <f>COUNT(J5:O8)-1</f>
        <v>21</v>
      </c>
      <c r="L19" s="353"/>
      <c r="M19" s="353"/>
      <c r="N19" s="353"/>
      <c r="O19" s="353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Y15"/>
  <sheetViews>
    <sheetView workbookViewId="0"/>
  </sheetViews>
  <sheetFormatPr defaultRowHeight="15" x14ac:dyDescent="0.25"/>
  <cols>
    <col min="1" max="1" width="9.140625" customWidth="1"/>
    <col min="2" max="7" width="7.28515625" customWidth="1"/>
    <col min="8" max="8" width="6.140625" customWidth="1"/>
  </cols>
  <sheetData>
    <row r="1" spans="1:25" x14ac:dyDescent="0.25">
      <c r="A1" s="1" t="s">
        <v>793</v>
      </c>
      <c r="J1" t="s">
        <v>99</v>
      </c>
      <c r="S1" t="s">
        <v>805</v>
      </c>
    </row>
    <row r="3" spans="1:25" ht="15.75" thickBot="1" x14ac:dyDescent="0.3">
      <c r="B3">
        <v>5</v>
      </c>
      <c r="C3">
        <f>B3+5</f>
        <v>10</v>
      </c>
      <c r="D3">
        <f>C3+5</f>
        <v>15</v>
      </c>
      <c r="E3">
        <f>D3+5</f>
        <v>20</v>
      </c>
      <c r="F3">
        <f>E3+5</f>
        <v>25</v>
      </c>
      <c r="G3">
        <f>F3+5</f>
        <v>30</v>
      </c>
      <c r="J3" t="str">
        <f>IF(A3="","",A3)</f>
        <v/>
      </c>
      <c r="K3">
        <f t="shared" ref="K3:P3" si="0">IF(ISBLANK(B3),"",B3)</f>
        <v>5</v>
      </c>
      <c r="L3">
        <f t="shared" si="0"/>
        <v>10</v>
      </c>
      <c r="M3">
        <f t="shared" si="0"/>
        <v>15</v>
      </c>
      <c r="N3">
        <f t="shared" si="0"/>
        <v>20</v>
      </c>
      <c r="O3">
        <f t="shared" si="0"/>
        <v>25</v>
      </c>
      <c r="P3">
        <f t="shared" si="0"/>
        <v>30</v>
      </c>
      <c r="Q3" s="341" t="s">
        <v>8</v>
      </c>
      <c r="S3" t="s">
        <v>84</v>
      </c>
      <c r="W3" t="s">
        <v>17</v>
      </c>
      <c r="X3">
        <v>0.05</v>
      </c>
    </row>
    <row r="4" spans="1:25" ht="15.75" thickTop="1" x14ac:dyDescent="0.25">
      <c r="A4" t="s">
        <v>653</v>
      </c>
      <c r="B4" s="342">
        <v>9.7000000000000011</v>
      </c>
      <c r="C4" s="343"/>
      <c r="D4" s="343">
        <v>8.3000000000000007</v>
      </c>
      <c r="E4" s="343">
        <v>6.3</v>
      </c>
      <c r="F4" s="343">
        <v>6.7</v>
      </c>
      <c r="G4" s="344">
        <v>5.8</v>
      </c>
      <c r="H4" s="21">
        <f>SUM(B4:G4)</f>
        <v>36.799999999999997</v>
      </c>
      <c r="J4" t="str">
        <f t="shared" ref="J4:J7" si="1">IF(ISBLANK(A4),"",A4)</f>
        <v>Field 1</v>
      </c>
      <c r="K4" s="301">
        <f t="shared" ref="K4:K7" si="2">IF(ISBLANK(B4),"",B4)</f>
        <v>9.7000000000000011</v>
      </c>
      <c r="L4" s="345" t="str">
        <f t="shared" ref="L4:L7" si="3">IF(ISBLANK(C4),"",C4)</f>
        <v/>
      </c>
      <c r="M4" s="345">
        <f t="shared" ref="M4:M7" si="4">IF(ISBLANK(D4),"",D4)</f>
        <v>8.3000000000000007</v>
      </c>
      <c r="N4" s="345">
        <f t="shared" ref="N4:N7" si="5">IF(ISBLANK(E4),"",E4)</f>
        <v>6.3</v>
      </c>
      <c r="O4" s="345">
        <f t="shared" ref="O4:O7" si="6">IF(ISBLANK(F4),"",F4)</f>
        <v>6.7</v>
      </c>
      <c r="P4" s="303">
        <f t="shared" ref="P4:P7" si="7">IF(ISBLANK(G4),"",G4)</f>
        <v>5.8</v>
      </c>
      <c r="Q4">
        <f>AVERAGE(K4:P4)</f>
        <v>7.3599999999999994</v>
      </c>
      <c r="S4" s="191" t="s">
        <v>100</v>
      </c>
      <c r="T4" s="191" t="s">
        <v>76</v>
      </c>
      <c r="U4" s="191" t="s">
        <v>37</v>
      </c>
      <c r="V4" s="191" t="s">
        <v>78</v>
      </c>
      <c r="W4" s="191" t="s">
        <v>68</v>
      </c>
      <c r="X4" s="191" t="s">
        <v>101</v>
      </c>
      <c r="Y4" s="191" t="s">
        <v>102</v>
      </c>
    </row>
    <row r="5" spans="1:25" x14ac:dyDescent="0.25">
      <c r="A5" t="s">
        <v>654</v>
      </c>
      <c r="B5" s="165">
        <v>13</v>
      </c>
      <c r="C5" s="37">
        <v>20.2</v>
      </c>
      <c r="D5" s="37">
        <v>6.4</v>
      </c>
      <c r="E5" s="37">
        <v>6</v>
      </c>
      <c r="F5" s="37">
        <v>5.1999999999999993</v>
      </c>
      <c r="G5" s="214">
        <v>3.6</v>
      </c>
      <c r="H5" s="21">
        <f>SUM(B5:G5)</f>
        <v>54.4</v>
      </c>
      <c r="J5" t="str">
        <f t="shared" si="1"/>
        <v>Field 2</v>
      </c>
      <c r="K5" s="76">
        <f t="shared" si="2"/>
        <v>13</v>
      </c>
      <c r="L5" s="7">
        <f t="shared" si="3"/>
        <v>20.2</v>
      </c>
      <c r="M5" s="7">
        <f t="shared" si="4"/>
        <v>6.4</v>
      </c>
      <c r="N5" s="7">
        <f t="shared" si="5"/>
        <v>6</v>
      </c>
      <c r="O5" s="7">
        <f t="shared" si="6"/>
        <v>5.1999999999999993</v>
      </c>
      <c r="P5" s="35">
        <f t="shared" si="7"/>
        <v>3.6</v>
      </c>
      <c r="Q5">
        <f t="shared" ref="Q5:Q7" si="8">AVERAGE(K5:P5)</f>
        <v>9.0666666666666664</v>
      </c>
      <c r="S5" t="s">
        <v>658</v>
      </c>
      <c r="T5" t="e">
        <f t="array" aca="1" ref="T5:T7" ca="1">SS_RCBD(K4:P7,FALSE)</f>
        <v>#NAME?</v>
      </c>
      <c r="U5">
        <f>ROWS(K4:P7)-1</f>
        <v>3</v>
      </c>
      <c r="V5" t="e">
        <f ca="1">T5/U5</f>
        <v>#NAME?</v>
      </c>
      <c r="W5" t="e">
        <f ca="1">V5/V7</f>
        <v>#NAME?</v>
      </c>
      <c r="X5" t="e">
        <f ca="1">FDIST(W5,U5,U7)</f>
        <v>#NAME?</v>
      </c>
      <c r="Y5">
        <f>FINV(X3,U5,U7)</f>
        <v>3.3438886781189128</v>
      </c>
    </row>
    <row r="6" spans="1:25" x14ac:dyDescent="0.25">
      <c r="A6" t="s">
        <v>655</v>
      </c>
      <c r="B6" s="165">
        <v>15.6</v>
      </c>
      <c r="C6" s="37">
        <v>17.7</v>
      </c>
      <c r="D6" s="37">
        <v>6.1</v>
      </c>
      <c r="E6" s="37">
        <v>3.9999999999999996</v>
      </c>
      <c r="F6" s="37">
        <v>3.1</v>
      </c>
      <c r="G6" s="214">
        <v>4.0999999999999996</v>
      </c>
      <c r="H6" s="21">
        <f>SUM(B6:G6)</f>
        <v>50.6</v>
      </c>
      <c r="J6" t="str">
        <f t="shared" si="1"/>
        <v>Field 3</v>
      </c>
      <c r="K6" s="76">
        <f t="shared" si="2"/>
        <v>15.6</v>
      </c>
      <c r="L6" s="7">
        <f t="shared" si="3"/>
        <v>17.7</v>
      </c>
      <c r="M6" s="7">
        <f t="shared" si="4"/>
        <v>6.1</v>
      </c>
      <c r="N6" s="7">
        <f t="shared" si="5"/>
        <v>3.9999999999999996</v>
      </c>
      <c r="O6" s="7">
        <f t="shared" si="6"/>
        <v>3.1</v>
      </c>
      <c r="P6" s="35">
        <f t="shared" si="7"/>
        <v>4.0999999999999996</v>
      </c>
      <c r="Q6">
        <f t="shared" si="8"/>
        <v>8.4333333333333336</v>
      </c>
      <c r="S6" t="s">
        <v>47</v>
      </c>
      <c r="T6" t="e">
        <f ca="1"/>
        <v>#NAME?</v>
      </c>
      <c r="U6">
        <f>COLUMNS(K4:P7)-1</f>
        <v>5</v>
      </c>
      <c r="V6" t="e">
        <f ca="1">T6/U6</f>
        <v>#NAME?</v>
      </c>
      <c r="W6" t="e">
        <f ca="1">V6/V7</f>
        <v>#NAME?</v>
      </c>
      <c r="X6" t="e">
        <f ca="1">FDIST(W6,U6,U7)</f>
        <v>#NAME?</v>
      </c>
      <c r="Y6">
        <f>FINV(X3,U6,U7)</f>
        <v>2.9582489131221967</v>
      </c>
    </row>
    <row r="7" spans="1:25" x14ac:dyDescent="0.25">
      <c r="A7" t="s">
        <v>656</v>
      </c>
      <c r="B7" s="190">
        <v>7.1</v>
      </c>
      <c r="C7" s="347">
        <v>11.8</v>
      </c>
      <c r="D7" s="347">
        <v>1.7</v>
      </c>
      <c r="E7" s="347">
        <v>0.5</v>
      </c>
      <c r="F7" s="347">
        <v>0.8</v>
      </c>
      <c r="G7" s="215">
        <v>0.2</v>
      </c>
      <c r="H7" s="21">
        <f>SUM(B7:G7)</f>
        <v>22.099999999999998</v>
      </c>
      <c r="J7" t="str">
        <f t="shared" si="1"/>
        <v>Field 4</v>
      </c>
      <c r="K7" s="348">
        <f t="shared" si="2"/>
        <v>7.1</v>
      </c>
      <c r="L7" s="349">
        <f t="shared" si="3"/>
        <v>11.8</v>
      </c>
      <c r="M7" s="349">
        <f t="shared" si="4"/>
        <v>1.7</v>
      </c>
      <c r="N7" s="349">
        <f t="shared" si="5"/>
        <v>0.5</v>
      </c>
      <c r="O7" s="349">
        <f t="shared" si="6"/>
        <v>0.8</v>
      </c>
      <c r="P7" s="350">
        <f t="shared" si="7"/>
        <v>0.2</v>
      </c>
      <c r="Q7">
        <f t="shared" si="8"/>
        <v>3.6833333333333331</v>
      </c>
      <c r="S7" t="s">
        <v>122</v>
      </c>
      <c r="T7" t="e">
        <f ca="1"/>
        <v>#NAME?</v>
      </c>
      <c r="U7">
        <f>U8-U5-U6</f>
        <v>14</v>
      </c>
      <c r="V7" t="e">
        <f ca="1">T7/U7</f>
        <v>#NAME?</v>
      </c>
    </row>
    <row r="8" spans="1:25" x14ac:dyDescent="0.25">
      <c r="B8" s="37">
        <f t="shared" ref="B8:G8" si="9">SUM(B4:B7)</f>
        <v>45.400000000000006</v>
      </c>
      <c r="C8" s="37">
        <f t="shared" si="9"/>
        <v>49.7</v>
      </c>
      <c r="D8" s="37">
        <f t="shared" si="9"/>
        <v>22.5</v>
      </c>
      <c r="E8" s="37">
        <f t="shared" si="9"/>
        <v>16.8</v>
      </c>
      <c r="F8" s="37">
        <f t="shared" si="9"/>
        <v>15.799999999999999</v>
      </c>
      <c r="G8" s="37">
        <f t="shared" si="9"/>
        <v>13.7</v>
      </c>
      <c r="H8" s="21">
        <f>SUM(B8:G8)</f>
        <v>163.9</v>
      </c>
      <c r="J8" t="s">
        <v>8</v>
      </c>
      <c r="K8">
        <f>AVERAGE(K4:K7)</f>
        <v>11.350000000000001</v>
      </c>
      <c r="L8">
        <f t="shared" ref="L8:Q8" si="10">AVERAGE(L4:L7)</f>
        <v>16.566666666666666</v>
      </c>
      <c r="M8">
        <f t="shared" si="10"/>
        <v>5.625</v>
      </c>
      <c r="N8">
        <f t="shared" si="10"/>
        <v>4.2</v>
      </c>
      <c r="O8">
        <f t="shared" si="10"/>
        <v>3.9499999999999997</v>
      </c>
      <c r="P8">
        <f t="shared" si="10"/>
        <v>3.4249999999999998</v>
      </c>
      <c r="Q8">
        <f t="shared" si="10"/>
        <v>7.1358333333333333</v>
      </c>
      <c r="S8" t="s">
        <v>1</v>
      </c>
      <c r="T8">
        <f>DEVSQ(K4:P7)</f>
        <v>636.98434782608695</v>
      </c>
      <c r="U8">
        <f>COUNT(K4:P7)-1</f>
        <v>22</v>
      </c>
    </row>
    <row r="9" spans="1:25" x14ac:dyDescent="0.25">
      <c r="B9" s="7"/>
      <c r="C9" s="7"/>
      <c r="D9" s="7"/>
      <c r="E9" s="7"/>
      <c r="F9" s="7"/>
      <c r="G9" s="7"/>
      <c r="J9" t="s">
        <v>48</v>
      </c>
      <c r="K9">
        <f>VAR(K4:K7)</f>
        <v>13.856666666666646</v>
      </c>
      <c r="L9">
        <f t="shared" ref="L9:Q9" si="11">VAR(L4:L7)</f>
        <v>18.603333333333296</v>
      </c>
      <c r="M9">
        <f t="shared" si="11"/>
        <v>7.7958333333333298</v>
      </c>
      <c r="N9">
        <f t="shared" si="11"/>
        <v>7.1266666666666652</v>
      </c>
      <c r="O9">
        <f t="shared" si="11"/>
        <v>6.5900000000000007</v>
      </c>
      <c r="P9">
        <f t="shared" si="11"/>
        <v>5.5091666666666681</v>
      </c>
      <c r="Q9">
        <f t="shared" si="11"/>
        <v>5.7938768518518389</v>
      </c>
      <c r="S9" s="304"/>
      <c r="T9" s="304"/>
      <c r="U9" s="304"/>
      <c r="V9" s="304"/>
      <c r="W9" s="304"/>
      <c r="X9" s="304"/>
      <c r="Y9" s="304"/>
    </row>
    <row r="15" spans="1:25" x14ac:dyDescent="0.25">
      <c r="B15" s="7"/>
      <c r="C15" s="7"/>
      <c r="D15" s="7"/>
      <c r="E15" s="7"/>
      <c r="F15" s="7"/>
      <c r="G15" s="7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AB25"/>
  <sheetViews>
    <sheetView workbookViewId="0">
      <selection activeCell="E15" sqref="E15"/>
    </sheetView>
  </sheetViews>
  <sheetFormatPr defaultRowHeight="15" x14ac:dyDescent="0.25"/>
  <sheetData>
    <row r="1" spans="1:28" x14ac:dyDescent="0.25">
      <c r="A1" t="s">
        <v>501</v>
      </c>
    </row>
    <row r="3" spans="1:28" x14ac:dyDescent="0.25">
      <c r="A3" s="301" t="s">
        <v>653</v>
      </c>
      <c r="B3" s="345" t="s">
        <v>814</v>
      </c>
      <c r="C3" s="303">
        <v>9.7000000000000011</v>
      </c>
      <c r="E3" t="s">
        <v>506</v>
      </c>
      <c r="M3" t="s">
        <v>99</v>
      </c>
      <c r="O3" t="s">
        <v>791</v>
      </c>
      <c r="P3" s="314">
        <f ca="1">ROWS(F6:K9)*COLUMNS(F6:K9)-COUNT(F6:K9)</f>
        <v>24</v>
      </c>
      <c r="V3" t="s">
        <v>663</v>
      </c>
    </row>
    <row r="4" spans="1:28" x14ac:dyDescent="0.25">
      <c r="A4" s="76" t="s">
        <v>653</v>
      </c>
      <c r="B4" s="7" t="s">
        <v>815</v>
      </c>
      <c r="C4" s="35">
        <v>8.3000000000000007</v>
      </c>
    </row>
    <row r="5" spans="1:28" ht="15.75" thickBot="1" x14ac:dyDescent="0.3">
      <c r="A5" s="76" t="s">
        <v>653</v>
      </c>
      <c r="B5" s="7" t="s">
        <v>816</v>
      </c>
      <c r="C5" s="35">
        <v>6.3</v>
      </c>
      <c r="E5" s="306" t="e">
        <f t="array" aca="1" ref="E5:K9" ca="1">StdAnova2(A3:C25)</f>
        <v>#NAME?</v>
      </c>
      <c r="F5" s="306" t="e">
        <f ca="1"/>
        <v>#NAME?</v>
      </c>
      <c r="G5" s="306" t="e">
        <f ca="1"/>
        <v>#NAME?</v>
      </c>
      <c r="H5" s="306" t="e">
        <f ca="1"/>
        <v>#NAME?</v>
      </c>
      <c r="I5" s="306" t="e">
        <f ca="1"/>
        <v>#NAME?</v>
      </c>
      <c r="J5" s="306" t="e">
        <f ca="1"/>
        <v>#NAME?</v>
      </c>
      <c r="K5" s="306" t="e">
        <f ca="1"/>
        <v>#NAME?</v>
      </c>
      <c r="M5" t="e">
        <f ca="1">IF(E5="","",E5)</f>
        <v>#NAME?</v>
      </c>
      <c r="N5" t="e">
        <f t="shared" ref="N5:S5" ca="1" si="0">F5</f>
        <v>#NAME?</v>
      </c>
      <c r="O5" t="e">
        <f t="shared" ca="1" si="0"/>
        <v>#NAME?</v>
      </c>
      <c r="P5" t="e">
        <f t="shared" ca="1" si="0"/>
        <v>#NAME?</v>
      </c>
      <c r="Q5" t="e">
        <f t="shared" ca="1" si="0"/>
        <v>#NAME?</v>
      </c>
      <c r="R5" t="e">
        <f t="shared" ca="1" si="0"/>
        <v>#NAME?</v>
      </c>
      <c r="S5" t="e">
        <f t="shared" ca="1" si="0"/>
        <v>#NAME?</v>
      </c>
      <c r="T5" s="341" t="s">
        <v>8</v>
      </c>
      <c r="V5" t="s">
        <v>84</v>
      </c>
      <c r="Z5" t="s">
        <v>17</v>
      </c>
      <c r="AA5">
        <v>0.05</v>
      </c>
    </row>
    <row r="6" spans="1:28" ht="15.75" thickTop="1" x14ac:dyDescent="0.25">
      <c r="A6" s="76" t="s">
        <v>653</v>
      </c>
      <c r="B6" s="7" t="s">
        <v>817</v>
      </c>
      <c r="C6" s="35">
        <v>6.7</v>
      </c>
      <c r="E6" s="314" t="e">
        <f ca="1"/>
        <v>#NAME?</v>
      </c>
      <c r="F6" s="314" t="e">
        <f ca="1"/>
        <v>#NAME?</v>
      </c>
      <c r="G6" s="314" t="e">
        <f ca="1"/>
        <v>#NAME?</v>
      </c>
      <c r="H6" s="314" t="e">
        <f ca="1"/>
        <v>#NAME?</v>
      </c>
      <c r="I6" s="314" t="e">
        <f ca="1"/>
        <v>#NAME?</v>
      </c>
      <c r="J6" s="314" t="e">
        <f ca="1"/>
        <v>#NAME?</v>
      </c>
      <c r="K6" s="314" t="e">
        <f ca="1"/>
        <v>#NAME?</v>
      </c>
      <c r="M6" t="e">
        <f t="shared" ref="M6:M9" ca="1" si="1">E6</f>
        <v>#NAME?</v>
      </c>
      <c r="N6" s="301" t="e">
        <f t="array" aca="1" ref="N6:S9" ca="1">RCBDMissing(F6:K9)</f>
        <v>#NAME?</v>
      </c>
      <c r="O6" s="345" t="e">
        <f ca="1"/>
        <v>#NAME?</v>
      </c>
      <c r="P6" s="345" t="e">
        <f ca="1"/>
        <v>#NAME?</v>
      </c>
      <c r="Q6" s="345" t="e">
        <f ca="1"/>
        <v>#NAME?</v>
      </c>
      <c r="R6" s="345" t="e">
        <f ca="1"/>
        <v>#NAME?</v>
      </c>
      <c r="S6" s="303" t="e">
        <f ca="1"/>
        <v>#NAME?</v>
      </c>
      <c r="T6" t="e">
        <f ca="1">AVERAGE(N6:S6)</f>
        <v>#NAME?</v>
      </c>
      <c r="V6" s="191" t="s">
        <v>100</v>
      </c>
      <c r="W6" s="191" t="s">
        <v>76</v>
      </c>
      <c r="X6" s="191" t="s">
        <v>37</v>
      </c>
      <c r="Y6" s="191" t="s">
        <v>78</v>
      </c>
      <c r="Z6" s="191" t="s">
        <v>68</v>
      </c>
      <c r="AA6" s="191" t="s">
        <v>101</v>
      </c>
      <c r="AB6" s="191" t="s">
        <v>792</v>
      </c>
    </row>
    <row r="7" spans="1:28" x14ac:dyDescent="0.25">
      <c r="A7" s="76" t="s">
        <v>653</v>
      </c>
      <c r="B7" s="7" t="s">
        <v>818</v>
      </c>
      <c r="C7" s="35">
        <v>5.8</v>
      </c>
      <c r="E7" s="314" t="e">
        <f ca="1"/>
        <v>#NAME?</v>
      </c>
      <c r="F7" s="314" t="e">
        <f ca="1"/>
        <v>#NAME?</v>
      </c>
      <c r="G7" s="314" t="e">
        <f ca="1"/>
        <v>#NAME?</v>
      </c>
      <c r="H7" s="314" t="e">
        <f ca="1"/>
        <v>#NAME?</v>
      </c>
      <c r="I7" s="314" t="e">
        <f ca="1"/>
        <v>#NAME?</v>
      </c>
      <c r="J7" s="314" t="e">
        <f ca="1"/>
        <v>#NAME?</v>
      </c>
      <c r="K7" s="314" t="e">
        <f ca="1"/>
        <v>#NAME?</v>
      </c>
      <c r="M7" t="e">
        <f t="shared" ca="1" si="1"/>
        <v>#NAME?</v>
      </c>
      <c r="N7" s="76" t="e">
        <f ca="1"/>
        <v>#NAME?</v>
      </c>
      <c r="O7" s="7" t="e">
        <f ca="1"/>
        <v>#NAME?</v>
      </c>
      <c r="P7" s="7" t="e">
        <f ca="1"/>
        <v>#NAME?</v>
      </c>
      <c r="Q7" s="7" t="e">
        <f ca="1"/>
        <v>#NAME?</v>
      </c>
      <c r="R7" s="7" t="e">
        <f ca="1"/>
        <v>#NAME?</v>
      </c>
      <c r="S7" s="35" t="e">
        <f ca="1"/>
        <v>#NAME?</v>
      </c>
      <c r="T7" t="e">
        <f t="shared" ref="T7:T9" ca="1" si="2">AVERAGE(N7:S7)</f>
        <v>#NAME?</v>
      </c>
      <c r="V7" t="s">
        <v>658</v>
      </c>
      <c r="W7" t="e">
        <f ca="1">(X8+1)*DEVSQ(T6:T9)-AB7</f>
        <v>#NAME?</v>
      </c>
      <c r="X7">
        <f ca="1">COUNT(N6:N9)-1</f>
        <v>-1</v>
      </c>
      <c r="Y7" t="e">
        <f ca="1">W7/X7</f>
        <v>#NAME?</v>
      </c>
      <c r="Z7" t="e">
        <f ca="1">Y7/Y9</f>
        <v>#NAME?</v>
      </c>
      <c r="AA7" t="e">
        <f ca="1">FDIST(Z7,X7,X9)</f>
        <v>#NAME?</v>
      </c>
      <c r="AB7" t="e">
        <f ca="1">RCBDAdjSS(F6:K9,TRUE)</f>
        <v>#NAME?</v>
      </c>
    </row>
    <row r="8" spans="1:28" x14ac:dyDescent="0.25">
      <c r="A8" s="76" t="s">
        <v>654</v>
      </c>
      <c r="B8" s="7" t="s">
        <v>814</v>
      </c>
      <c r="C8" s="35">
        <v>13</v>
      </c>
      <c r="E8" s="314" t="e">
        <f ca="1"/>
        <v>#NAME?</v>
      </c>
      <c r="F8" s="314" t="e">
        <f ca="1"/>
        <v>#NAME?</v>
      </c>
      <c r="G8" s="314" t="e">
        <f ca="1"/>
        <v>#NAME?</v>
      </c>
      <c r="H8" s="314" t="e">
        <f ca="1"/>
        <v>#NAME?</v>
      </c>
      <c r="I8" s="314" t="e">
        <f ca="1"/>
        <v>#NAME?</v>
      </c>
      <c r="J8" s="314" t="e">
        <f ca="1"/>
        <v>#NAME?</v>
      </c>
      <c r="K8" s="314" t="e">
        <f ca="1"/>
        <v>#NAME?</v>
      </c>
      <c r="M8" t="e">
        <f t="shared" ca="1" si="1"/>
        <v>#NAME?</v>
      </c>
      <c r="N8" s="76" t="e">
        <f ca="1"/>
        <v>#NAME?</v>
      </c>
      <c r="O8" s="7" t="e">
        <f ca="1"/>
        <v>#NAME?</v>
      </c>
      <c r="P8" s="7" t="e">
        <f ca="1"/>
        <v>#NAME?</v>
      </c>
      <c r="Q8" s="7" t="e">
        <f ca="1"/>
        <v>#NAME?</v>
      </c>
      <c r="R8" s="7" t="e">
        <f ca="1"/>
        <v>#NAME?</v>
      </c>
      <c r="S8" s="35" t="e">
        <f ca="1"/>
        <v>#NAME?</v>
      </c>
      <c r="T8" t="e">
        <f t="shared" ca="1" si="2"/>
        <v>#NAME?</v>
      </c>
      <c r="V8" t="s">
        <v>47</v>
      </c>
      <c r="W8" t="e">
        <f ca="1">(X7+1)*DEVSQ(N10:S10)-AB8</f>
        <v>#NAME?</v>
      </c>
      <c r="X8">
        <f ca="1">COUNT(N6:S6)-1</f>
        <v>-1</v>
      </c>
      <c r="Y8" t="e">
        <f ca="1">W8/X8</f>
        <v>#NAME?</v>
      </c>
      <c r="Z8" t="e">
        <f ca="1">Y8/Y9</f>
        <v>#NAME?</v>
      </c>
      <c r="AA8" t="e">
        <f ca="1">FDIST(Z8,X8,X9)</f>
        <v>#NAME?</v>
      </c>
      <c r="AB8" t="e">
        <f ca="1">RCBDAdjSS(F6:K9,FALSE)</f>
        <v>#NAME?</v>
      </c>
    </row>
    <row r="9" spans="1:28" x14ac:dyDescent="0.25">
      <c r="A9" s="76" t="s">
        <v>654</v>
      </c>
      <c r="B9" s="7" t="s">
        <v>819</v>
      </c>
      <c r="C9" s="35">
        <v>20.2</v>
      </c>
      <c r="E9" s="314" t="e">
        <f ca="1"/>
        <v>#NAME?</v>
      </c>
      <c r="F9" s="314" t="e">
        <f ca="1"/>
        <v>#NAME?</v>
      </c>
      <c r="G9" s="314" t="e">
        <f ca="1"/>
        <v>#NAME?</v>
      </c>
      <c r="H9" s="314" t="e">
        <f ca="1"/>
        <v>#NAME?</v>
      </c>
      <c r="I9" s="314" t="e">
        <f ca="1"/>
        <v>#NAME?</v>
      </c>
      <c r="J9" s="314" t="e">
        <f ca="1"/>
        <v>#NAME?</v>
      </c>
      <c r="K9" s="314" t="e">
        <f ca="1"/>
        <v>#NAME?</v>
      </c>
      <c r="M9" t="e">
        <f t="shared" ca="1" si="1"/>
        <v>#NAME?</v>
      </c>
      <c r="N9" s="348" t="e">
        <f ca="1"/>
        <v>#NAME?</v>
      </c>
      <c r="O9" s="349" t="e">
        <f ca="1"/>
        <v>#NAME?</v>
      </c>
      <c r="P9" s="349" t="e">
        <f ca="1"/>
        <v>#NAME?</v>
      </c>
      <c r="Q9" s="349" t="e">
        <f ca="1"/>
        <v>#NAME?</v>
      </c>
      <c r="R9" s="349" t="e">
        <f ca="1"/>
        <v>#NAME?</v>
      </c>
      <c r="S9" s="350" t="e">
        <f ca="1"/>
        <v>#NAME?</v>
      </c>
      <c r="T9" t="e">
        <f t="shared" ca="1" si="2"/>
        <v>#NAME?</v>
      </c>
      <c r="V9" t="s">
        <v>122</v>
      </c>
      <c r="W9" t="e">
        <f ca="1">W10-W7-W8</f>
        <v>#NAME?</v>
      </c>
      <c r="X9">
        <f ca="1">X10-X7-X8</f>
        <v>-23</v>
      </c>
      <c r="Y9" t="e">
        <f ca="1">W9/X9</f>
        <v>#NAME?</v>
      </c>
    </row>
    <row r="10" spans="1:28" x14ac:dyDescent="0.25">
      <c r="A10" s="76" t="s">
        <v>654</v>
      </c>
      <c r="B10" s="7" t="s">
        <v>815</v>
      </c>
      <c r="C10" s="35">
        <v>6.4</v>
      </c>
      <c r="M10" t="s">
        <v>8</v>
      </c>
      <c r="N10" t="e">
        <f ca="1">AVERAGE(N6:N9)</f>
        <v>#NAME?</v>
      </c>
      <c r="O10" t="e">
        <f t="shared" ref="O10:T10" ca="1" si="3">AVERAGE(O6:O9)</f>
        <v>#NAME?</v>
      </c>
      <c r="P10" t="e">
        <f t="shared" ca="1" si="3"/>
        <v>#NAME?</v>
      </c>
      <c r="Q10" t="e">
        <f t="shared" ca="1" si="3"/>
        <v>#NAME?</v>
      </c>
      <c r="R10" t="e">
        <f t="shared" ca="1" si="3"/>
        <v>#NAME?</v>
      </c>
      <c r="S10" t="e">
        <f t="shared" ca="1" si="3"/>
        <v>#NAME?</v>
      </c>
      <c r="T10" t="e">
        <f t="shared" ca="1" si="3"/>
        <v>#NAME?</v>
      </c>
      <c r="V10" t="s">
        <v>1</v>
      </c>
      <c r="W10" t="e">
        <f ca="1">DEVSQ(N6:S9)-AB7-AB8</f>
        <v>#NAME?</v>
      </c>
      <c r="X10">
        <f ca="1">(X7+1)*(X8+1)-1-P3</f>
        <v>-25</v>
      </c>
    </row>
    <row r="11" spans="1:28" x14ac:dyDescent="0.25">
      <c r="A11" s="76" t="s">
        <v>654</v>
      </c>
      <c r="B11" s="7" t="s">
        <v>816</v>
      </c>
      <c r="C11" s="35">
        <v>6</v>
      </c>
      <c r="M11" t="s">
        <v>48</v>
      </c>
      <c r="N11" t="e">
        <f ca="1">VAR(N6:N9)</f>
        <v>#NAME?</v>
      </c>
      <c r="O11" t="e">
        <f t="shared" ref="O11:T11" ca="1" si="4">VAR(O6:O9)</f>
        <v>#NAME?</v>
      </c>
      <c r="P11" t="e">
        <f t="shared" ca="1" si="4"/>
        <v>#NAME?</v>
      </c>
      <c r="Q11" t="e">
        <f t="shared" ca="1" si="4"/>
        <v>#NAME?</v>
      </c>
      <c r="R11" t="e">
        <f t="shared" ca="1" si="4"/>
        <v>#NAME?</v>
      </c>
      <c r="S11" t="e">
        <f t="shared" ca="1" si="4"/>
        <v>#NAME?</v>
      </c>
      <c r="T11" t="e">
        <f t="shared" ca="1" si="4"/>
        <v>#NAME?</v>
      </c>
      <c r="V11" s="304"/>
      <c r="W11" s="304"/>
      <c r="X11" s="304"/>
      <c r="Y11" s="304"/>
      <c r="Z11" s="304"/>
      <c r="AA11" s="304"/>
      <c r="AB11" s="304"/>
    </row>
    <row r="12" spans="1:28" x14ac:dyDescent="0.25">
      <c r="A12" s="76" t="s">
        <v>654</v>
      </c>
      <c r="B12" s="7" t="s">
        <v>817</v>
      </c>
      <c r="C12" s="35">
        <v>5.1999999999999993</v>
      </c>
    </row>
    <row r="13" spans="1:28" x14ac:dyDescent="0.25">
      <c r="A13" s="76" t="s">
        <v>654</v>
      </c>
      <c r="B13" s="7" t="s">
        <v>818</v>
      </c>
      <c r="C13" s="35">
        <v>3.6</v>
      </c>
    </row>
    <row r="14" spans="1:28" x14ac:dyDescent="0.25">
      <c r="A14" s="76" t="s">
        <v>655</v>
      </c>
      <c r="B14" s="7" t="s">
        <v>814</v>
      </c>
      <c r="C14" s="35">
        <v>15.6</v>
      </c>
    </row>
    <row r="15" spans="1:28" x14ac:dyDescent="0.25">
      <c r="A15" s="76" t="s">
        <v>655</v>
      </c>
      <c r="B15" s="7" t="s">
        <v>819</v>
      </c>
      <c r="C15" s="35">
        <v>17.7</v>
      </c>
      <c r="E15" t="s">
        <v>506</v>
      </c>
      <c r="M15" t="s">
        <v>99</v>
      </c>
      <c r="V15" t="s">
        <v>805</v>
      </c>
    </row>
    <row r="16" spans="1:28" x14ac:dyDescent="0.25">
      <c r="A16" s="76" t="s">
        <v>655</v>
      </c>
      <c r="B16" s="7" t="s">
        <v>815</v>
      </c>
      <c r="C16" s="35">
        <v>6.1</v>
      </c>
    </row>
    <row r="17" spans="1:28" ht="15.75" thickBot="1" x14ac:dyDescent="0.3">
      <c r="A17" s="76" t="s">
        <v>655</v>
      </c>
      <c r="B17" s="7" t="s">
        <v>816</v>
      </c>
      <c r="C17" s="35">
        <v>3.9999999999999996</v>
      </c>
      <c r="E17" s="306" t="e">
        <f t="array" aca="1" ref="E17:K21" ca="1">StdAnova2(A3:C25)</f>
        <v>#NAME?</v>
      </c>
      <c r="F17" s="306" t="e">
        <f ca="1"/>
        <v>#NAME?</v>
      </c>
      <c r="G17" s="306" t="e">
        <f ca="1"/>
        <v>#NAME?</v>
      </c>
      <c r="H17" s="306" t="e">
        <f ca="1"/>
        <v>#NAME?</v>
      </c>
      <c r="I17" s="306" t="e">
        <f ca="1"/>
        <v>#NAME?</v>
      </c>
      <c r="J17" s="306" t="e">
        <f ca="1"/>
        <v>#NAME?</v>
      </c>
      <c r="K17" s="306" t="e">
        <f ca="1"/>
        <v>#NAME?</v>
      </c>
      <c r="M17" t="e">
        <f ca="1">IF(E17="","",E17)</f>
        <v>#NAME?</v>
      </c>
      <c r="N17" t="e">
        <f t="shared" ref="N17:S17" ca="1" si="5">IF(ISBLANK(F17),"",F17)</f>
        <v>#NAME?</v>
      </c>
      <c r="O17" t="e">
        <f t="shared" ca="1" si="5"/>
        <v>#NAME?</v>
      </c>
      <c r="P17" t="e">
        <f t="shared" ca="1" si="5"/>
        <v>#NAME?</v>
      </c>
      <c r="Q17" t="e">
        <f t="shared" ca="1" si="5"/>
        <v>#NAME?</v>
      </c>
      <c r="R17" t="e">
        <f t="shared" ca="1" si="5"/>
        <v>#NAME?</v>
      </c>
      <c r="S17" t="e">
        <f t="shared" ca="1" si="5"/>
        <v>#NAME?</v>
      </c>
      <c r="T17" s="341" t="s">
        <v>8</v>
      </c>
      <c r="V17" t="s">
        <v>84</v>
      </c>
      <c r="Z17" t="s">
        <v>17</v>
      </c>
      <c r="AA17">
        <v>0.05</v>
      </c>
    </row>
    <row r="18" spans="1:28" ht="15.75" thickTop="1" x14ac:dyDescent="0.25">
      <c r="A18" s="76" t="s">
        <v>655</v>
      </c>
      <c r="B18" s="7" t="s">
        <v>817</v>
      </c>
      <c r="C18" s="35">
        <v>3.1</v>
      </c>
      <c r="E18" s="314" t="e">
        <f ca="1"/>
        <v>#NAME?</v>
      </c>
      <c r="F18" s="314" t="e">
        <f ca="1"/>
        <v>#NAME?</v>
      </c>
      <c r="G18" s="314" t="e">
        <f ca="1"/>
        <v>#NAME?</v>
      </c>
      <c r="H18" s="314" t="e">
        <f ca="1"/>
        <v>#NAME?</v>
      </c>
      <c r="I18" s="314" t="e">
        <f ca="1"/>
        <v>#NAME?</v>
      </c>
      <c r="J18" s="314" t="e">
        <f ca="1"/>
        <v>#NAME?</v>
      </c>
      <c r="K18" s="314" t="e">
        <f ca="1"/>
        <v>#NAME?</v>
      </c>
      <c r="M18" t="e">
        <f t="shared" ref="M18:M21" ca="1" si="6">IF(ISBLANK(E18),"",E18)</f>
        <v>#NAME?</v>
      </c>
      <c r="N18" s="301" t="e">
        <f t="shared" ref="N18:N21" ca="1" si="7">IF(ISBLANK(F18),"",F18)</f>
        <v>#NAME?</v>
      </c>
      <c r="O18" s="345" t="e">
        <f t="shared" ref="O18:O21" ca="1" si="8">IF(ISBLANK(G18),"",G18)</f>
        <v>#NAME?</v>
      </c>
      <c r="P18" s="345" t="e">
        <f t="shared" ref="P18:P21" ca="1" si="9">IF(ISBLANK(H18),"",H18)</f>
        <v>#NAME?</v>
      </c>
      <c r="Q18" s="345" t="e">
        <f t="shared" ref="Q18:Q21" ca="1" si="10">IF(ISBLANK(I18),"",I18)</f>
        <v>#NAME?</v>
      </c>
      <c r="R18" s="345" t="e">
        <f t="shared" ref="R18:R21" ca="1" si="11">IF(ISBLANK(J18),"",J18)</f>
        <v>#NAME?</v>
      </c>
      <c r="S18" s="303" t="e">
        <f t="shared" ref="S18:S21" ca="1" si="12">IF(ISBLANK(K18),"",K18)</f>
        <v>#NAME?</v>
      </c>
      <c r="T18" t="e">
        <f ca="1">AVERAGE(N18:S18)</f>
        <v>#NAME?</v>
      </c>
      <c r="V18" s="191" t="s">
        <v>100</v>
      </c>
      <c r="W18" s="191" t="s">
        <v>76</v>
      </c>
      <c r="X18" s="191" t="s">
        <v>37</v>
      </c>
      <c r="Y18" s="191" t="s">
        <v>78</v>
      </c>
      <c r="Z18" s="191" t="s">
        <v>68</v>
      </c>
      <c r="AA18" s="191" t="s">
        <v>101</v>
      </c>
      <c r="AB18" s="191" t="s">
        <v>102</v>
      </c>
    </row>
    <row r="19" spans="1:28" x14ac:dyDescent="0.25">
      <c r="A19" s="76" t="s">
        <v>655</v>
      </c>
      <c r="B19" s="7" t="s">
        <v>818</v>
      </c>
      <c r="C19" s="35">
        <v>4.0999999999999996</v>
      </c>
      <c r="E19" s="314" t="e">
        <f ca="1"/>
        <v>#NAME?</v>
      </c>
      <c r="F19" s="314" t="e">
        <f ca="1"/>
        <v>#NAME?</v>
      </c>
      <c r="G19" s="314" t="e">
        <f ca="1"/>
        <v>#NAME?</v>
      </c>
      <c r="H19" s="314" t="e">
        <f ca="1"/>
        <v>#NAME?</v>
      </c>
      <c r="I19" s="314" t="e">
        <f ca="1"/>
        <v>#NAME?</v>
      </c>
      <c r="J19" s="314" t="e">
        <f ca="1"/>
        <v>#NAME?</v>
      </c>
      <c r="K19" s="314" t="e">
        <f ca="1"/>
        <v>#NAME?</v>
      </c>
      <c r="M19" t="e">
        <f t="shared" ca="1" si="6"/>
        <v>#NAME?</v>
      </c>
      <c r="N19" s="76" t="e">
        <f t="shared" ca="1" si="7"/>
        <v>#NAME?</v>
      </c>
      <c r="O19" s="7" t="e">
        <f t="shared" ca="1" si="8"/>
        <v>#NAME?</v>
      </c>
      <c r="P19" s="7" t="e">
        <f t="shared" ca="1" si="9"/>
        <v>#NAME?</v>
      </c>
      <c r="Q19" s="7" t="e">
        <f t="shared" ca="1" si="10"/>
        <v>#NAME?</v>
      </c>
      <c r="R19" s="7" t="e">
        <f t="shared" ca="1" si="11"/>
        <v>#NAME?</v>
      </c>
      <c r="S19" s="35" t="e">
        <f t="shared" ca="1" si="12"/>
        <v>#NAME?</v>
      </c>
      <c r="T19" t="e">
        <f t="shared" ref="T19:T21" ca="1" si="13">AVERAGE(N19:S19)</f>
        <v>#NAME?</v>
      </c>
      <c r="V19" t="s">
        <v>658</v>
      </c>
      <c r="W19" t="e">
        <f t="array" aca="1" ref="W19:W21" ca="1">SS_RCBD(N18:S21,FALSE)</f>
        <v>#NAME?</v>
      </c>
      <c r="X19">
        <f>ROWS(N18:S21)-1</f>
        <v>3</v>
      </c>
      <c r="Y19" t="e">
        <f ca="1">W19/X19</f>
        <v>#NAME?</v>
      </c>
      <c r="Z19" t="e">
        <f ca="1">Y19/Y21</f>
        <v>#NAME?</v>
      </c>
      <c r="AA19" t="e">
        <f ca="1">FDIST(Z19,X19,X21)</f>
        <v>#NAME?</v>
      </c>
      <c r="AB19" t="e">
        <f ca="1">FINV(AA17,X19,X21)</f>
        <v>#NUM!</v>
      </c>
    </row>
    <row r="20" spans="1:28" x14ac:dyDescent="0.25">
      <c r="A20" s="76" t="s">
        <v>656</v>
      </c>
      <c r="B20" s="7" t="s">
        <v>814</v>
      </c>
      <c r="C20" s="35">
        <v>7.1</v>
      </c>
      <c r="E20" s="314" t="e">
        <f ca="1"/>
        <v>#NAME?</v>
      </c>
      <c r="F20" s="314" t="e">
        <f ca="1"/>
        <v>#NAME?</v>
      </c>
      <c r="G20" s="314" t="e">
        <f ca="1"/>
        <v>#NAME?</v>
      </c>
      <c r="H20" s="314" t="e">
        <f ca="1"/>
        <v>#NAME?</v>
      </c>
      <c r="I20" s="314" t="e">
        <f ca="1"/>
        <v>#NAME?</v>
      </c>
      <c r="J20" s="314" t="e">
        <f ca="1"/>
        <v>#NAME?</v>
      </c>
      <c r="K20" s="314" t="e">
        <f ca="1"/>
        <v>#NAME?</v>
      </c>
      <c r="M20" t="e">
        <f t="shared" ca="1" si="6"/>
        <v>#NAME?</v>
      </c>
      <c r="N20" s="76" t="e">
        <f t="shared" ca="1" si="7"/>
        <v>#NAME?</v>
      </c>
      <c r="O20" s="7" t="e">
        <f t="shared" ca="1" si="8"/>
        <v>#NAME?</v>
      </c>
      <c r="P20" s="7" t="e">
        <f t="shared" ca="1" si="9"/>
        <v>#NAME?</v>
      </c>
      <c r="Q20" s="7" t="e">
        <f t="shared" ca="1" si="10"/>
        <v>#NAME?</v>
      </c>
      <c r="R20" s="7" t="e">
        <f t="shared" ca="1" si="11"/>
        <v>#NAME?</v>
      </c>
      <c r="S20" s="35" t="e">
        <f t="shared" ca="1" si="12"/>
        <v>#NAME?</v>
      </c>
      <c r="T20" t="e">
        <f t="shared" ca="1" si="13"/>
        <v>#NAME?</v>
      </c>
      <c r="V20" t="s">
        <v>47</v>
      </c>
      <c r="W20" t="e">
        <f ca="1"/>
        <v>#NAME?</v>
      </c>
      <c r="X20">
        <f>COLUMNS(N18:S21)-1</f>
        <v>5</v>
      </c>
      <c r="Y20" t="e">
        <f ca="1">W20/X20</f>
        <v>#NAME?</v>
      </c>
      <c r="Z20" t="e">
        <f ca="1">Y20/Y21</f>
        <v>#NAME?</v>
      </c>
      <c r="AA20" t="e">
        <f ca="1">FDIST(Z20,X20,X21)</f>
        <v>#NAME?</v>
      </c>
      <c r="AB20" t="e">
        <f ca="1">FINV(AA17,X20,X21)</f>
        <v>#NUM!</v>
      </c>
    </row>
    <row r="21" spans="1:28" x14ac:dyDescent="0.25">
      <c r="A21" s="76" t="s">
        <v>656</v>
      </c>
      <c r="B21" s="7" t="s">
        <v>819</v>
      </c>
      <c r="C21" s="35">
        <v>11.8</v>
      </c>
      <c r="E21" s="314" t="e">
        <f ca="1"/>
        <v>#NAME?</v>
      </c>
      <c r="F21" s="314" t="e">
        <f ca="1"/>
        <v>#NAME?</v>
      </c>
      <c r="G21" s="314" t="e">
        <f ca="1"/>
        <v>#NAME?</v>
      </c>
      <c r="H21" s="314" t="e">
        <f ca="1"/>
        <v>#NAME?</v>
      </c>
      <c r="I21" s="314" t="e">
        <f ca="1"/>
        <v>#NAME?</v>
      </c>
      <c r="J21" s="314" t="e">
        <f ca="1"/>
        <v>#NAME?</v>
      </c>
      <c r="K21" s="314" t="e">
        <f ca="1"/>
        <v>#NAME?</v>
      </c>
      <c r="M21" t="e">
        <f t="shared" ca="1" si="6"/>
        <v>#NAME?</v>
      </c>
      <c r="N21" s="348" t="e">
        <f t="shared" ca="1" si="7"/>
        <v>#NAME?</v>
      </c>
      <c r="O21" s="349" t="e">
        <f t="shared" ca="1" si="8"/>
        <v>#NAME?</v>
      </c>
      <c r="P21" s="349" t="e">
        <f t="shared" ca="1" si="9"/>
        <v>#NAME?</v>
      </c>
      <c r="Q21" s="349" t="e">
        <f t="shared" ca="1" si="10"/>
        <v>#NAME?</v>
      </c>
      <c r="R21" s="349" t="e">
        <f t="shared" ca="1" si="11"/>
        <v>#NAME?</v>
      </c>
      <c r="S21" s="350" t="e">
        <f t="shared" ca="1" si="12"/>
        <v>#NAME?</v>
      </c>
      <c r="T21" t="e">
        <f t="shared" ca="1" si="13"/>
        <v>#NAME?</v>
      </c>
      <c r="V21" t="s">
        <v>122</v>
      </c>
      <c r="W21" t="e">
        <f ca="1"/>
        <v>#NAME?</v>
      </c>
      <c r="X21">
        <f ca="1">X22-X19-X20</f>
        <v>-9</v>
      </c>
      <c r="Y21" t="e">
        <f ca="1">W21/X21</f>
        <v>#NAME?</v>
      </c>
    </row>
    <row r="22" spans="1:28" x14ac:dyDescent="0.25">
      <c r="A22" s="76" t="s">
        <v>656</v>
      </c>
      <c r="B22" s="7" t="s">
        <v>815</v>
      </c>
      <c r="C22" s="35">
        <v>1.7</v>
      </c>
      <c r="M22" t="s">
        <v>8</v>
      </c>
      <c r="N22" t="e">
        <f ca="1">AVERAGE(N18:N21)</f>
        <v>#NAME?</v>
      </c>
      <c r="O22" t="e">
        <f t="shared" ref="O22:T22" ca="1" si="14">AVERAGE(O18:O21)</f>
        <v>#NAME?</v>
      </c>
      <c r="P22" t="e">
        <f t="shared" ca="1" si="14"/>
        <v>#NAME?</v>
      </c>
      <c r="Q22" t="e">
        <f t="shared" ca="1" si="14"/>
        <v>#NAME?</v>
      </c>
      <c r="R22" t="e">
        <f t="shared" ca="1" si="14"/>
        <v>#NAME?</v>
      </c>
      <c r="S22" t="e">
        <f t="shared" ca="1" si="14"/>
        <v>#NAME?</v>
      </c>
      <c r="T22" t="e">
        <f t="shared" ca="1" si="14"/>
        <v>#NAME?</v>
      </c>
      <c r="V22" t="s">
        <v>1</v>
      </c>
      <c r="W22" t="e">
        <f ca="1">DEVSQ(N18:S21)</f>
        <v>#NAME?</v>
      </c>
      <c r="X22">
        <f ca="1">COUNT(N18:S21)-1</f>
        <v>-1</v>
      </c>
    </row>
    <row r="23" spans="1:28" x14ac:dyDescent="0.25">
      <c r="A23" s="76" t="s">
        <v>656</v>
      </c>
      <c r="B23" s="7" t="s">
        <v>816</v>
      </c>
      <c r="C23" s="35">
        <v>0.5</v>
      </c>
      <c r="M23" t="s">
        <v>48</v>
      </c>
      <c r="N23" t="e">
        <f ca="1">VAR(N18:N21)</f>
        <v>#NAME?</v>
      </c>
      <c r="O23" t="e">
        <f t="shared" ref="O23:T23" ca="1" si="15">VAR(O18:O21)</f>
        <v>#NAME?</v>
      </c>
      <c r="P23" t="e">
        <f t="shared" ca="1" si="15"/>
        <v>#NAME?</v>
      </c>
      <c r="Q23" t="e">
        <f t="shared" ca="1" si="15"/>
        <v>#NAME?</v>
      </c>
      <c r="R23" t="e">
        <f t="shared" ca="1" si="15"/>
        <v>#NAME?</v>
      </c>
      <c r="S23" t="e">
        <f t="shared" ca="1" si="15"/>
        <v>#NAME?</v>
      </c>
      <c r="T23" t="e">
        <f t="shared" ca="1" si="15"/>
        <v>#NAME?</v>
      </c>
      <c r="V23" s="304"/>
      <c r="W23" s="304"/>
      <c r="X23" s="304"/>
      <c r="Y23" s="304"/>
      <c r="Z23" s="304"/>
      <c r="AA23" s="304"/>
      <c r="AB23" s="304"/>
    </row>
    <row r="24" spans="1:28" x14ac:dyDescent="0.25">
      <c r="A24" s="76" t="s">
        <v>656</v>
      </c>
      <c r="B24" s="7" t="s">
        <v>817</v>
      </c>
      <c r="C24" s="35">
        <v>0.8</v>
      </c>
    </row>
    <row r="25" spans="1:28" x14ac:dyDescent="0.25">
      <c r="A25" s="348" t="s">
        <v>656</v>
      </c>
      <c r="B25" s="349" t="s">
        <v>818</v>
      </c>
      <c r="C25" s="350">
        <v>0.2</v>
      </c>
    </row>
  </sheetData>
  <pageMargins left="0.7" right="0.7" top="0.75" bottom="0.75" header="0.3" footer="0.3"/>
  <ignoredErrors>
    <ignoredError sqref="B3:B2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169"/>
  <sheetViews>
    <sheetView workbookViewId="0"/>
  </sheetViews>
  <sheetFormatPr defaultRowHeight="15" customHeight="1" x14ac:dyDescent="0.25"/>
  <cols>
    <col min="1" max="1" width="4" customWidth="1"/>
    <col min="2" max="2" width="85.5703125" customWidth="1"/>
  </cols>
  <sheetData>
    <row r="1" spans="1:2" x14ac:dyDescent="0.25">
      <c r="A1" s="1" t="s">
        <v>855</v>
      </c>
      <c r="B1" s="1"/>
    </row>
    <row r="2" spans="1:2" x14ac:dyDescent="0.25">
      <c r="A2" s="1" t="s">
        <v>862</v>
      </c>
      <c r="B2" s="1"/>
    </row>
    <row r="3" spans="1:2" x14ac:dyDescent="0.25">
      <c r="A3" s="1"/>
      <c r="B3" s="1"/>
    </row>
    <row r="4" spans="1:2" x14ac:dyDescent="0.25">
      <c r="A4" s="172" t="s">
        <v>860</v>
      </c>
    </row>
    <row r="6" spans="1:2" ht="15" customHeight="1" x14ac:dyDescent="0.25">
      <c r="A6" s="1" t="s">
        <v>0</v>
      </c>
    </row>
    <row r="7" spans="1:2" ht="15" customHeight="1" x14ac:dyDescent="0.25">
      <c r="B7" s="2"/>
    </row>
    <row r="8" spans="1:2" ht="15" customHeight="1" x14ac:dyDescent="0.25">
      <c r="A8" s="1" t="s">
        <v>618</v>
      </c>
      <c r="B8" s="2"/>
    </row>
    <row r="9" spans="1:2" ht="15" customHeight="1" x14ac:dyDescent="0.25">
      <c r="B9" s="2"/>
    </row>
    <row r="10" spans="1:2" ht="15" customHeight="1" x14ac:dyDescent="0.25">
      <c r="A10" t="s">
        <v>611</v>
      </c>
      <c r="B10" s="2"/>
    </row>
    <row r="11" spans="1:2" ht="15" customHeight="1" x14ac:dyDescent="0.25">
      <c r="B11" s="2" t="s">
        <v>569</v>
      </c>
    </row>
    <row r="12" spans="1:2" ht="15" customHeight="1" x14ac:dyDescent="0.25">
      <c r="B12" s="2"/>
    </row>
    <row r="13" spans="1:2" ht="15" customHeight="1" x14ac:dyDescent="0.25">
      <c r="A13" t="s">
        <v>858</v>
      </c>
      <c r="B13" s="2"/>
    </row>
    <row r="14" spans="1:2" ht="15" customHeight="1" x14ac:dyDescent="0.25">
      <c r="B14" s="2" t="s">
        <v>612</v>
      </c>
    </row>
    <row r="15" spans="1:2" ht="15" customHeight="1" x14ac:dyDescent="0.25">
      <c r="B15" s="2" t="s">
        <v>857</v>
      </c>
    </row>
    <row r="16" spans="1:2" ht="15" customHeight="1" x14ac:dyDescent="0.25">
      <c r="B16" s="2"/>
    </row>
    <row r="17" spans="1:2" ht="15" customHeight="1" x14ac:dyDescent="0.25">
      <c r="A17" t="s">
        <v>570</v>
      </c>
      <c r="B17" s="2"/>
    </row>
    <row r="18" spans="1:2" ht="15" customHeight="1" x14ac:dyDescent="0.25">
      <c r="B18" s="2" t="s">
        <v>571</v>
      </c>
    </row>
    <row r="19" spans="1:2" ht="15" customHeight="1" x14ac:dyDescent="0.25">
      <c r="B19" s="2" t="s">
        <v>614</v>
      </c>
    </row>
    <row r="20" spans="1:2" ht="15" customHeight="1" x14ac:dyDescent="0.25">
      <c r="B20" s="2" t="s">
        <v>615</v>
      </c>
    </row>
    <row r="21" spans="1:2" ht="15" customHeight="1" x14ac:dyDescent="0.25">
      <c r="B21" s="2"/>
    </row>
    <row r="22" spans="1:2" ht="15" customHeight="1" x14ac:dyDescent="0.25">
      <c r="A22" s="1" t="s">
        <v>650</v>
      </c>
      <c r="B22" s="2"/>
    </row>
    <row r="23" spans="1:2" ht="15" customHeight="1" x14ac:dyDescent="0.25">
      <c r="B23" s="2"/>
    </row>
    <row r="24" spans="1:2" ht="15" customHeight="1" x14ac:dyDescent="0.25">
      <c r="A24" t="s">
        <v>651</v>
      </c>
      <c r="B24" s="2"/>
    </row>
    <row r="25" spans="1:2" ht="15" customHeight="1" x14ac:dyDescent="0.25">
      <c r="B25" s="2" t="s">
        <v>661</v>
      </c>
    </row>
    <row r="26" spans="1:2" ht="15" customHeight="1" x14ac:dyDescent="0.25">
      <c r="B26" s="2" t="s">
        <v>664</v>
      </c>
    </row>
    <row r="27" spans="1:2" ht="15" customHeight="1" x14ac:dyDescent="0.25">
      <c r="B27" s="2" t="s">
        <v>666</v>
      </c>
    </row>
    <row r="28" spans="1:2" ht="15" customHeight="1" x14ac:dyDescent="0.25">
      <c r="B28" s="2" t="s">
        <v>665</v>
      </c>
    </row>
    <row r="29" spans="1:2" ht="15" customHeight="1" x14ac:dyDescent="0.25">
      <c r="B29" s="2"/>
    </row>
    <row r="30" spans="1:2" ht="15" customHeight="1" x14ac:dyDescent="0.25">
      <c r="A30" t="s">
        <v>787</v>
      </c>
      <c r="B30" s="2"/>
    </row>
    <row r="31" spans="1:2" ht="15" customHeight="1" x14ac:dyDescent="0.25">
      <c r="B31" s="2" t="s">
        <v>823</v>
      </c>
    </row>
    <row r="32" spans="1:2" ht="15" customHeight="1" x14ac:dyDescent="0.25">
      <c r="B32" s="2" t="s">
        <v>824</v>
      </c>
    </row>
    <row r="33" spans="1:2" ht="15" customHeight="1" x14ac:dyDescent="0.25">
      <c r="B33" s="2" t="s">
        <v>788</v>
      </c>
    </row>
    <row r="34" spans="1:2" ht="15" customHeight="1" x14ac:dyDescent="0.25">
      <c r="B34" s="2" t="s">
        <v>821</v>
      </c>
    </row>
    <row r="35" spans="1:2" ht="15" customHeight="1" x14ac:dyDescent="0.25">
      <c r="B35" s="2" t="s">
        <v>794</v>
      </c>
    </row>
    <row r="36" spans="1:2" ht="15" customHeight="1" x14ac:dyDescent="0.25">
      <c r="B36" s="2" t="s">
        <v>822</v>
      </c>
    </row>
    <row r="37" spans="1:2" ht="15" customHeight="1" x14ac:dyDescent="0.25">
      <c r="B37" s="2" t="s">
        <v>807</v>
      </c>
    </row>
    <row r="38" spans="1:2" ht="15" customHeight="1" x14ac:dyDescent="0.25">
      <c r="B38" s="2" t="s">
        <v>820</v>
      </c>
    </row>
    <row r="39" spans="1:2" ht="15" customHeight="1" x14ac:dyDescent="0.25">
      <c r="B39" s="2"/>
    </row>
    <row r="40" spans="1:2" ht="15" customHeight="1" x14ac:dyDescent="0.25">
      <c r="A40" t="s">
        <v>662</v>
      </c>
      <c r="B40" s="2"/>
    </row>
    <row r="41" spans="1:2" ht="15" customHeight="1" x14ac:dyDescent="0.25">
      <c r="B41" s="2" t="s">
        <v>723</v>
      </c>
    </row>
    <row r="42" spans="1:2" ht="15" customHeight="1" x14ac:dyDescent="0.25">
      <c r="B42" s="2" t="s">
        <v>722</v>
      </c>
    </row>
    <row r="43" spans="1:2" ht="15" customHeight="1" x14ac:dyDescent="0.25">
      <c r="B43" s="2" t="s">
        <v>724</v>
      </c>
    </row>
    <row r="44" spans="1:2" ht="15" customHeight="1" x14ac:dyDescent="0.25">
      <c r="B44" s="2" t="s">
        <v>725</v>
      </c>
    </row>
    <row r="45" spans="1:2" ht="15" customHeight="1" x14ac:dyDescent="0.25">
      <c r="B45" s="2" t="s">
        <v>726</v>
      </c>
    </row>
    <row r="46" spans="1:2" ht="15" customHeight="1" x14ac:dyDescent="0.25">
      <c r="B46" s="2" t="s">
        <v>727</v>
      </c>
    </row>
    <row r="47" spans="1:2" ht="15" customHeight="1" x14ac:dyDescent="0.25">
      <c r="B47" s="2" t="s">
        <v>728</v>
      </c>
    </row>
    <row r="48" spans="1:2" ht="15" customHeight="1" x14ac:dyDescent="0.25">
      <c r="B48" s="2"/>
    </row>
    <row r="49" spans="1:2" ht="15" customHeight="1" x14ac:dyDescent="0.25">
      <c r="A49" t="s">
        <v>667</v>
      </c>
      <c r="B49" s="2"/>
    </row>
    <row r="50" spans="1:2" ht="15" customHeight="1" x14ac:dyDescent="0.25">
      <c r="B50" s="2" t="s">
        <v>696</v>
      </c>
    </row>
    <row r="51" spans="1:2" ht="15" customHeight="1" x14ac:dyDescent="0.25">
      <c r="B51" s="2" t="s">
        <v>697</v>
      </c>
    </row>
    <row r="52" spans="1:2" ht="15" customHeight="1" x14ac:dyDescent="0.25">
      <c r="B52" s="2" t="s">
        <v>698</v>
      </c>
    </row>
    <row r="53" spans="1:2" ht="15" customHeight="1" x14ac:dyDescent="0.25">
      <c r="B53" s="2" t="s">
        <v>699</v>
      </c>
    </row>
    <row r="54" spans="1:2" ht="15" customHeight="1" x14ac:dyDescent="0.25">
      <c r="B54" s="2" t="s">
        <v>700</v>
      </c>
    </row>
    <row r="55" spans="1:2" ht="15" customHeight="1" x14ac:dyDescent="0.25">
      <c r="B55" s="2" t="s">
        <v>701</v>
      </c>
    </row>
    <row r="56" spans="1:2" ht="15" customHeight="1" x14ac:dyDescent="0.25">
      <c r="B56" s="2" t="s">
        <v>702</v>
      </c>
    </row>
    <row r="57" spans="1:2" ht="15" customHeight="1" x14ac:dyDescent="0.25">
      <c r="B57" s="2" t="s">
        <v>703</v>
      </c>
    </row>
    <row r="58" spans="1:2" ht="15" customHeight="1" x14ac:dyDescent="0.25">
      <c r="B58" s="2"/>
    </row>
    <row r="59" spans="1:2" s="1" customFormat="1" ht="15" customHeight="1" x14ac:dyDescent="0.25">
      <c r="A59" s="1" t="s">
        <v>434</v>
      </c>
      <c r="B59" s="175"/>
    </row>
    <row r="60" spans="1:2" ht="15" customHeight="1" x14ac:dyDescent="0.25">
      <c r="B60" s="2"/>
    </row>
    <row r="61" spans="1:2" ht="15" customHeight="1" x14ac:dyDescent="0.25">
      <c r="A61" t="s">
        <v>440</v>
      </c>
      <c r="B61" s="2"/>
    </row>
    <row r="62" spans="1:2" ht="15" customHeight="1" x14ac:dyDescent="0.25">
      <c r="B62" s="2" t="s">
        <v>441</v>
      </c>
    </row>
    <row r="63" spans="1:2" ht="15" customHeight="1" x14ac:dyDescent="0.25">
      <c r="B63" s="2" t="s">
        <v>442</v>
      </c>
    </row>
    <row r="64" spans="1:2" ht="15" customHeight="1" x14ac:dyDescent="0.25">
      <c r="B64" s="2" t="s">
        <v>493</v>
      </c>
    </row>
    <row r="65" spans="1:2" ht="15" customHeight="1" x14ac:dyDescent="0.25">
      <c r="B65" s="2" t="s">
        <v>843</v>
      </c>
    </row>
    <row r="66" spans="1:2" ht="15" customHeight="1" x14ac:dyDescent="0.25">
      <c r="B66" s="2" t="s">
        <v>844</v>
      </c>
    </row>
    <row r="67" spans="1:2" ht="15" customHeight="1" x14ac:dyDescent="0.25">
      <c r="B67" s="2" t="s">
        <v>845</v>
      </c>
    </row>
    <row r="68" spans="1:2" ht="15" customHeight="1" x14ac:dyDescent="0.25">
      <c r="B68" s="2"/>
    </row>
    <row r="69" spans="1:2" ht="15" customHeight="1" x14ac:dyDescent="0.25">
      <c r="A69" t="s">
        <v>241</v>
      </c>
      <c r="B69" s="2"/>
    </row>
    <row r="70" spans="1:2" ht="15" customHeight="1" x14ac:dyDescent="0.25">
      <c r="B70" s="2" t="s">
        <v>443</v>
      </c>
    </row>
    <row r="71" spans="1:2" ht="15" customHeight="1" x14ac:dyDescent="0.25">
      <c r="B71" s="2" t="s">
        <v>460</v>
      </c>
    </row>
    <row r="72" spans="1:2" ht="15" customHeight="1" x14ac:dyDescent="0.25">
      <c r="B72" s="2" t="s">
        <v>444</v>
      </c>
    </row>
    <row r="73" spans="1:2" ht="15" customHeight="1" x14ac:dyDescent="0.25">
      <c r="B73" s="2" t="s">
        <v>255</v>
      </c>
    </row>
    <row r="74" spans="1:2" ht="15" customHeight="1" x14ac:dyDescent="0.25">
      <c r="B74" s="2"/>
    </row>
    <row r="75" spans="1:2" ht="15" customHeight="1" x14ac:dyDescent="0.25">
      <c r="A75" t="s">
        <v>459</v>
      </c>
      <c r="B75" s="2"/>
    </row>
    <row r="76" spans="1:2" ht="15" customHeight="1" x14ac:dyDescent="0.25">
      <c r="B76" s="2" t="s">
        <v>461</v>
      </c>
    </row>
    <row r="77" spans="1:2" ht="15" customHeight="1" x14ac:dyDescent="0.25">
      <c r="B77" s="2" t="s">
        <v>462</v>
      </c>
    </row>
    <row r="78" spans="1:2" ht="15" customHeight="1" x14ac:dyDescent="0.25">
      <c r="B78" s="2" t="s">
        <v>463</v>
      </c>
    </row>
    <row r="79" spans="1:2" ht="15" customHeight="1" x14ac:dyDescent="0.25">
      <c r="B79" s="2" t="s">
        <v>500</v>
      </c>
    </row>
    <row r="80" spans="1:2" ht="15" customHeight="1" x14ac:dyDescent="0.25">
      <c r="B80" s="2"/>
    </row>
    <row r="81" spans="1:2" ht="15" customHeight="1" x14ac:dyDescent="0.25">
      <c r="A81" t="s">
        <v>617</v>
      </c>
      <c r="B81" s="2"/>
    </row>
    <row r="82" spans="1:2" ht="15" customHeight="1" x14ac:dyDescent="0.25">
      <c r="B82" s="2" t="s">
        <v>446</v>
      </c>
    </row>
    <row r="83" spans="1:2" ht="15" customHeight="1" x14ac:dyDescent="0.25">
      <c r="B83" s="2" t="s">
        <v>643</v>
      </c>
    </row>
    <row r="84" spans="1:2" ht="15" customHeight="1" x14ac:dyDescent="0.25">
      <c r="B84" s="2" t="s">
        <v>644</v>
      </c>
    </row>
    <row r="85" spans="1:2" ht="15" customHeight="1" x14ac:dyDescent="0.25">
      <c r="B85" s="2" t="s">
        <v>645</v>
      </c>
    </row>
    <row r="86" spans="1:2" ht="15" customHeight="1" x14ac:dyDescent="0.25">
      <c r="B86" s="2"/>
    </row>
    <row r="87" spans="1:2" ht="15" customHeight="1" x14ac:dyDescent="0.25">
      <c r="A87" t="s">
        <v>445</v>
      </c>
      <c r="B87" s="2"/>
    </row>
    <row r="88" spans="1:2" ht="15" customHeight="1" x14ac:dyDescent="0.25">
      <c r="B88" s="2" t="s">
        <v>464</v>
      </c>
    </row>
    <row r="89" spans="1:2" ht="15" customHeight="1" x14ac:dyDescent="0.25">
      <c r="B89" s="2" t="s">
        <v>431</v>
      </c>
    </row>
    <row r="90" spans="1:2" ht="15" customHeight="1" x14ac:dyDescent="0.25">
      <c r="B90" s="2" t="s">
        <v>465</v>
      </c>
    </row>
    <row r="91" spans="1:2" ht="15" customHeight="1" x14ac:dyDescent="0.25">
      <c r="B91" s="2" t="s">
        <v>466</v>
      </c>
    </row>
    <row r="92" spans="1:2" ht="15" customHeight="1" x14ac:dyDescent="0.25">
      <c r="B92" s="2" t="s">
        <v>467</v>
      </c>
    </row>
    <row r="93" spans="1:2" ht="15" customHeight="1" x14ac:dyDescent="0.25">
      <c r="B93" s="2" t="s">
        <v>468</v>
      </c>
    </row>
    <row r="94" spans="1:2" ht="15" customHeight="1" x14ac:dyDescent="0.25">
      <c r="B94" s="2" t="s">
        <v>469</v>
      </c>
    </row>
    <row r="95" spans="1:2" ht="15" customHeight="1" x14ac:dyDescent="0.25">
      <c r="B95" s="2" t="s">
        <v>470</v>
      </c>
    </row>
    <row r="96" spans="1:2" ht="15" customHeight="1" x14ac:dyDescent="0.25">
      <c r="B96" s="2" t="s">
        <v>471</v>
      </c>
    </row>
    <row r="97" spans="1:2" ht="15" customHeight="1" x14ac:dyDescent="0.25">
      <c r="B97" s="2" t="s">
        <v>472</v>
      </c>
    </row>
    <row r="98" spans="1:2" ht="15" customHeight="1" x14ac:dyDescent="0.25">
      <c r="B98" s="2" t="s">
        <v>473</v>
      </c>
    </row>
    <row r="99" spans="1:2" ht="15" customHeight="1" x14ac:dyDescent="0.25">
      <c r="B99" s="2" t="s">
        <v>474</v>
      </c>
    </row>
    <row r="100" spans="1:2" ht="15" customHeight="1" x14ac:dyDescent="0.25">
      <c r="B100" s="2" t="s">
        <v>475</v>
      </c>
    </row>
    <row r="101" spans="1:2" ht="15" customHeight="1" x14ac:dyDescent="0.25">
      <c r="B101" s="2" t="s">
        <v>476</v>
      </c>
    </row>
    <row r="102" spans="1:2" ht="15" customHeight="1" x14ac:dyDescent="0.25">
      <c r="B102" s="2" t="s">
        <v>477</v>
      </c>
    </row>
    <row r="103" spans="1:2" ht="15" customHeight="1" x14ac:dyDescent="0.25">
      <c r="B103" s="2" t="s">
        <v>484</v>
      </c>
    </row>
    <row r="104" spans="1:2" ht="15" customHeight="1" x14ac:dyDescent="0.25">
      <c r="B104" s="2"/>
    </row>
    <row r="105" spans="1:2" ht="15" customHeight="1" x14ac:dyDescent="0.25">
      <c r="A105" t="s">
        <v>761</v>
      </c>
      <c r="B105" s="2"/>
    </row>
    <row r="106" spans="1:2" ht="15" customHeight="1" x14ac:dyDescent="0.25">
      <c r="B106" s="2" t="s">
        <v>785</v>
      </c>
    </row>
    <row r="107" spans="1:2" ht="15" customHeight="1" x14ac:dyDescent="0.25">
      <c r="B107" s="2" t="s">
        <v>762</v>
      </c>
    </row>
    <row r="108" spans="1:2" ht="15" customHeight="1" x14ac:dyDescent="0.25">
      <c r="B108" s="2" t="s">
        <v>763</v>
      </c>
    </row>
    <row r="109" spans="1:2" ht="15" customHeight="1" x14ac:dyDescent="0.25">
      <c r="B109" s="2"/>
    </row>
    <row r="110" spans="1:2" ht="15" customHeight="1" x14ac:dyDescent="0.25">
      <c r="A110" t="s">
        <v>448</v>
      </c>
      <c r="B110" s="2"/>
    </row>
    <row r="111" spans="1:2" ht="15" customHeight="1" x14ac:dyDescent="0.25">
      <c r="B111" s="2" t="s">
        <v>447</v>
      </c>
    </row>
    <row r="112" spans="1:2" ht="15" customHeight="1" x14ac:dyDescent="0.25">
      <c r="B112" s="2" t="s">
        <v>493</v>
      </c>
    </row>
    <row r="113" spans="1:2" ht="15" customHeight="1" x14ac:dyDescent="0.25">
      <c r="B113" s="2" t="s">
        <v>850</v>
      </c>
    </row>
    <row r="114" spans="1:2" ht="15" customHeight="1" x14ac:dyDescent="0.25">
      <c r="B114" s="2" t="s">
        <v>831</v>
      </c>
    </row>
    <row r="115" spans="1:2" ht="15" customHeight="1" x14ac:dyDescent="0.25">
      <c r="B115" s="2" t="s">
        <v>851</v>
      </c>
    </row>
    <row r="116" spans="1:2" ht="15" customHeight="1" x14ac:dyDescent="0.25">
      <c r="B116" s="2"/>
    </row>
    <row r="117" spans="1:2" ht="15" customHeight="1" x14ac:dyDescent="0.25">
      <c r="A117" t="s">
        <v>623</v>
      </c>
      <c r="B117" s="2"/>
    </row>
    <row r="118" spans="1:2" ht="15" customHeight="1" x14ac:dyDescent="0.25">
      <c r="B118" s="2" t="s">
        <v>625</v>
      </c>
    </row>
    <row r="119" spans="1:2" ht="15" customHeight="1" x14ac:dyDescent="0.25">
      <c r="B119" s="2" t="s">
        <v>624</v>
      </c>
    </row>
    <row r="121" spans="1:2" s="1" customFormat="1" ht="15" customHeight="1" x14ac:dyDescent="0.25">
      <c r="A121" s="1" t="s">
        <v>435</v>
      </c>
      <c r="B121" s="175"/>
    </row>
    <row r="122" spans="1:2" ht="15" customHeight="1" x14ac:dyDescent="0.25">
      <c r="B122" s="2"/>
    </row>
    <row r="123" spans="1:2" ht="15" customHeight="1" x14ac:dyDescent="0.25">
      <c r="A123" t="s">
        <v>439</v>
      </c>
      <c r="B123" s="2"/>
    </row>
    <row r="124" spans="1:2" ht="15" customHeight="1" x14ac:dyDescent="0.25">
      <c r="B124" s="2" t="s">
        <v>451</v>
      </c>
    </row>
    <row r="125" spans="1:2" ht="15" customHeight="1" x14ac:dyDescent="0.25">
      <c r="B125" s="2"/>
    </row>
    <row r="126" spans="1:2" ht="15" customHeight="1" x14ac:dyDescent="0.25">
      <c r="A126" t="s">
        <v>450</v>
      </c>
      <c r="B126" s="2"/>
    </row>
    <row r="127" spans="1:2" ht="15" customHeight="1" x14ac:dyDescent="0.25">
      <c r="B127" s="2" t="s">
        <v>481</v>
      </c>
    </row>
    <row r="128" spans="1:2" ht="15" customHeight="1" x14ac:dyDescent="0.25">
      <c r="B128" s="2" t="s">
        <v>452</v>
      </c>
    </row>
    <row r="129" spans="1:2" ht="15" customHeight="1" x14ac:dyDescent="0.25">
      <c r="B129" s="2" t="s">
        <v>453</v>
      </c>
    </row>
    <row r="130" spans="1:2" ht="15" customHeight="1" x14ac:dyDescent="0.25">
      <c r="B130" s="2" t="s">
        <v>455</v>
      </c>
    </row>
    <row r="131" spans="1:2" ht="15" customHeight="1" x14ac:dyDescent="0.25">
      <c r="B131" s="2" t="s">
        <v>454</v>
      </c>
    </row>
    <row r="132" spans="1:2" ht="15" customHeight="1" x14ac:dyDescent="0.25">
      <c r="B132" s="2"/>
    </row>
    <row r="133" spans="1:2" ht="15" customHeight="1" x14ac:dyDescent="0.25">
      <c r="A133" t="s">
        <v>456</v>
      </c>
      <c r="B133" s="2"/>
    </row>
    <row r="134" spans="1:2" ht="15" customHeight="1" x14ac:dyDescent="0.25">
      <c r="B134" s="2" t="s">
        <v>478</v>
      </c>
    </row>
    <row r="135" spans="1:2" ht="15" customHeight="1" x14ac:dyDescent="0.25">
      <c r="B135" s="2" t="s">
        <v>480</v>
      </c>
    </row>
    <row r="136" spans="1:2" ht="15" customHeight="1" x14ac:dyDescent="0.25">
      <c r="B136" s="2" t="s">
        <v>479</v>
      </c>
    </row>
    <row r="137" spans="1:2" ht="15" customHeight="1" x14ac:dyDescent="0.25">
      <c r="B137" s="2"/>
    </row>
    <row r="138" spans="1:2" ht="15" customHeight="1" x14ac:dyDescent="0.25">
      <c r="A138" t="s">
        <v>457</v>
      </c>
      <c r="B138" s="2"/>
    </row>
    <row r="139" spans="1:2" ht="15" customHeight="1" x14ac:dyDescent="0.25">
      <c r="B139" s="2" t="s">
        <v>482</v>
      </c>
    </row>
    <row r="140" spans="1:2" ht="15" customHeight="1" x14ac:dyDescent="0.25">
      <c r="B140" s="2" t="s">
        <v>616</v>
      </c>
    </row>
    <row r="141" spans="1:2" ht="15" customHeight="1" x14ac:dyDescent="0.25">
      <c r="B141" s="2"/>
    </row>
    <row r="142" spans="1:2" ht="15" customHeight="1" x14ac:dyDescent="0.25">
      <c r="A142" t="s">
        <v>458</v>
      </c>
      <c r="B142" s="2"/>
    </row>
    <row r="143" spans="1:2" ht="15" customHeight="1" x14ac:dyDescent="0.25">
      <c r="B143" s="2" t="s">
        <v>483</v>
      </c>
    </row>
    <row r="144" spans="1:2" ht="15" customHeight="1" x14ac:dyDescent="0.25">
      <c r="B144" s="2"/>
    </row>
    <row r="145" spans="1:2" ht="15" customHeight="1" x14ac:dyDescent="0.25">
      <c r="A145" t="s">
        <v>755</v>
      </c>
      <c r="B145" s="2"/>
    </row>
    <row r="146" spans="1:2" ht="15" customHeight="1" x14ac:dyDescent="0.25">
      <c r="B146" s="2" t="s">
        <v>756</v>
      </c>
    </row>
    <row r="147" spans="1:2" ht="15" customHeight="1" x14ac:dyDescent="0.25">
      <c r="B147" s="2"/>
    </row>
    <row r="148" spans="1:2" ht="15" customHeight="1" x14ac:dyDescent="0.25">
      <c r="A148" t="s">
        <v>64</v>
      </c>
      <c r="B148" s="2"/>
    </row>
    <row r="149" spans="1:2" ht="15" customHeight="1" x14ac:dyDescent="0.25">
      <c r="B149" s="2" t="s">
        <v>406</v>
      </c>
    </row>
    <row r="150" spans="1:2" ht="15" customHeight="1" x14ac:dyDescent="0.25">
      <c r="B150" s="2" t="s">
        <v>407</v>
      </c>
    </row>
    <row r="151" spans="1:2" ht="15" customHeight="1" x14ac:dyDescent="0.25">
      <c r="B151" s="2"/>
    </row>
    <row r="152" spans="1:2" ht="15" customHeight="1" x14ac:dyDescent="0.25">
      <c r="A152" t="s">
        <v>757</v>
      </c>
      <c r="B152" s="2"/>
    </row>
    <row r="153" spans="1:2" ht="15" customHeight="1" x14ac:dyDescent="0.25">
      <c r="B153" s="2" t="s">
        <v>758</v>
      </c>
    </row>
    <row r="154" spans="1:2" ht="15" customHeight="1" x14ac:dyDescent="0.25">
      <c r="B154" s="2" t="s">
        <v>759</v>
      </c>
    </row>
    <row r="155" spans="1:2" ht="15" customHeight="1" x14ac:dyDescent="0.25">
      <c r="B155" s="2" t="s">
        <v>760</v>
      </c>
    </row>
    <row r="156" spans="1:2" ht="15" customHeight="1" x14ac:dyDescent="0.25">
      <c r="B156" s="2" t="s">
        <v>458</v>
      </c>
    </row>
    <row r="157" spans="1:2" ht="15" customHeight="1" x14ac:dyDescent="0.25">
      <c r="B157" s="2"/>
    </row>
    <row r="158" spans="1:2" ht="15" customHeight="1" x14ac:dyDescent="0.25">
      <c r="A158" s="1" t="s">
        <v>786</v>
      </c>
      <c r="B158" s="2"/>
    </row>
    <row r="159" spans="1:2" ht="15" customHeight="1" x14ac:dyDescent="0.25">
      <c r="A159" s="1"/>
      <c r="B159" s="2"/>
    </row>
    <row r="160" spans="1:2" ht="15" customHeight="1" x14ac:dyDescent="0.25">
      <c r="A160" t="s">
        <v>449</v>
      </c>
    </row>
    <row r="161" spans="1:2" ht="15" customHeight="1" x14ac:dyDescent="0.25">
      <c r="B161" s="2" t="s">
        <v>543</v>
      </c>
    </row>
    <row r="162" spans="1:2" ht="15" customHeight="1" x14ac:dyDescent="0.25">
      <c r="B162" s="2" t="s">
        <v>642</v>
      </c>
    </row>
    <row r="163" spans="1:2" ht="15" customHeight="1" x14ac:dyDescent="0.25">
      <c r="B163" s="2" t="s">
        <v>542</v>
      </c>
    </row>
    <row r="164" spans="1:2" ht="15" customHeight="1" x14ac:dyDescent="0.25">
      <c r="B164" s="2" t="s">
        <v>544</v>
      </c>
    </row>
    <row r="165" spans="1:2" ht="15" customHeight="1" x14ac:dyDescent="0.25">
      <c r="B165" s="2" t="s">
        <v>493</v>
      </c>
    </row>
    <row r="166" spans="1:2" ht="15" customHeight="1" x14ac:dyDescent="0.25">
      <c r="B166" s="2"/>
    </row>
    <row r="167" spans="1:2" ht="15" customHeight="1" x14ac:dyDescent="0.25">
      <c r="A167" s="1" t="s">
        <v>436</v>
      </c>
    </row>
    <row r="168" spans="1:2" ht="15" customHeight="1" x14ac:dyDescent="0.25">
      <c r="B168" s="2" t="s">
        <v>437</v>
      </c>
    </row>
    <row r="169" spans="1:2" ht="15" customHeight="1" x14ac:dyDescent="0.25">
      <c r="B169" s="2" t="s">
        <v>438</v>
      </c>
    </row>
  </sheetData>
  <hyperlinks>
    <hyperlink ref="B168" location="'Stud. Q Table'!A1" display="'Stud. Q Table'!A1"/>
    <hyperlink ref="B169" location="'Stud. Q Table 2'!A1" display="F9 - Studentized Q Table (table 2)"/>
    <hyperlink ref="B62" location="'ANOVA Match 1.1'!A1" display="ANOVA with repeated measures, 1 treatment variable (Example 22.1)"/>
    <hyperlink ref="B70" location="'ANOVA Match 1.3'!W3" display="Tests for sphericity (Figure 22.5 and 22.6)"/>
    <hyperlink ref="B161" location="'ICC1'!A1" display="Intraclass Correlation - case 1"/>
    <hyperlink ref="B82" location="'ANOVA Match 2.1'!A1" display="ANOVA with repeated measures, 2 treatment variables (Example 22.5)"/>
    <hyperlink ref="B127" location="'ANCOVA 2'!A1" display="ANCOVA Regression Approach (Figure 23.2)"/>
    <hyperlink ref="B128" location="'ANCOVA 2'!J3" display="ANCOVA regression models (Figure 23.3)"/>
    <hyperlink ref="B129" location="'ANCOVA 2'!J30" display="ANCOVA results (Figure 23.4 and 23.5)"/>
    <hyperlink ref="B139" location="'ANCOVA 3'!A1" display="ANCOVA - ANOVA approach (Example 23.3, Figure 23.13)"/>
    <hyperlink ref="B150" location="'ANCOVA Contrasts'!D17" display="ANCOVA effect sizes - contrasts"/>
    <hyperlink ref="B111" location="Friedman!A1" display="Friedman's test (Example 22.9)"/>
    <hyperlink ref="B88" location="'ANOVA Match 2.3'!A1" display="ANOVA with repeated measures, 1 within and 1 between subjects (Example 22.8)"/>
    <hyperlink ref="B90" location="'ANOVA Match 2.3'!BD3" display="Assumptions between subjects: Boxplot (Figure 22.23)"/>
    <hyperlink ref="B92" location="'ANOVA Match 2.3'!BD14" display="Assumptions within subjects: Boxplot (Figure 22.25)"/>
    <hyperlink ref="B93" location="'ANOVA Match 2.3'!BU3" display="Assumptions between subjects: Levene's test (Figure 22.24)"/>
    <hyperlink ref="B95:B96" location="'ANOVA Match 2.3'!AQ3" display="Assumptions within subjects: Covariance matrices(Figure 22.27)"/>
    <hyperlink ref="B96" location="'ANOVA Match 2.3'!W17" display="Within subjects ANOVA corrected for sphercity (Figure 22.29)"/>
    <hyperlink ref="B97" location="'ANOVA Match 2.3'!AI3" display="Within subjects ANOVA simple effects (Figure 22.30)"/>
    <hyperlink ref="B101" location="'ANOVA Match 2.3'!Q33" display="Between subjects simple effects ANOVA (Figure 22.34)"/>
    <hyperlink ref="B102" location="'ANOVA Match 2.3'!Q52" display="Corrected between subjects simple effects ANOVA (Figure 22.36)"/>
    <hyperlink ref="B89" location="'ANOVA Match 2.3A'!A1" display="ANOVA with repeated measures, use of data analysis tools"/>
    <hyperlink ref="B76" location="'ANOVA Match 1.4'!A1" display="GG epsilon calculation (Example E4.2)"/>
    <hyperlink ref="B77" location="'ANOVA Match 1.4'!A20" display="GG epsilon calculation using eigenvalues (Example E4.3)"/>
    <hyperlink ref="B163:B164" location="ICC!A1" display="Intraclass Correlation Coefficient (Example 24.8)"/>
    <hyperlink ref="B163" location="'ICC2'!A1" display="Intraclass Correlation - case 2"/>
    <hyperlink ref="B164" location="'ICC3'!A1" display="Intraclass Correlation - case 3"/>
    <hyperlink ref="B165" location="'ICC2'!AF1" display="Real Statistics data analysis tool"/>
    <hyperlink ref="B18" location="Nested!A1" display="Nested model (Example 1)"/>
    <hyperlink ref="B20" location="'Nested 2'!A1" display="Nested Anova using data in standard form (Example 2)"/>
    <hyperlink ref="B14" location="Mixed!A1" display="Two factor mixed model (Example 1)"/>
    <hyperlink ref="B118" location="'Cochran 1'!A1" display="Cochran's Q test, raw data (Example 1)"/>
    <hyperlink ref="B119" location="'Cochran 2'!A1" display="Cochran's Q test, summarized data (Example 2)"/>
    <hyperlink ref="B162" location="ICC1a!A1" display="ICC(1,1) Power and Sample Size"/>
    <hyperlink ref="B83" location="'ANOVA Match 2.2'!A26" display="Chart comparing means for interaction (Figure 9)"/>
    <hyperlink ref="B50" location="Latin!A1" display="Latin square representation"/>
    <hyperlink ref="B53" location="'Latin 3'!A1" display="Latin square analysis, standard format"/>
    <hyperlink ref="B54" location="'Latin 5'!A1" display="Latin square analysis with replications, Excel format (Example 2)"/>
    <hyperlink ref="B55" location="'Latin 4'!A1" display="Latin square analysis with replications, standard format"/>
    <hyperlink ref="B56" location="'Latin 5'!W1" display="Contrasts (Example 3)"/>
    <hyperlink ref="B41" location="'Split 1'!A1" display="RCBD Split-plot Anova (Example 1)"/>
    <hyperlink ref="B42" location="'Split 2'!A1" display="RCBD Split-plot Anova - model 1"/>
    <hyperlink ref="B45" location="'Split 1'!AA1" display="Contrasts (Example 2)"/>
    <hyperlink ref="B46" location="'Split 1'!AW1" display="Tukey's HSD (Example 3)"/>
    <hyperlink ref="B153" location="'ANCOVA Std'!A1" display="Conversion from Excel to stacked format (Example 1)"/>
    <hyperlink ref="B154" location="'ANCOVA Std 1'!A1" display="ANCOVA in stacked format"/>
    <hyperlink ref="B155" location="'ANCOVA Std 1'!W1" display="Tukey HSD"/>
    <hyperlink ref="B156" location="'ANCOVA Std 1'!AF1" display="Contrasts"/>
    <hyperlink ref="B107" location="'ANOVA Match 2.5A'!A1" display="Real Statistics data analysis, input in Excel format"/>
    <hyperlink ref="B108" location="'ANOVA Match 2.5B'!A1" display="Real Statistics data analysis, input in standard format"/>
    <hyperlink ref="B33" location="'RCBD 4'!A1" display="Using Regression"/>
    <hyperlink ref="B38" location="'RCBD 9'!A1" display="Real Statistics support for data in standard format"/>
    <hyperlink ref="B37" location="'RCBD 7'!A1" display="Real Statistics support for dealing with more than one missing element"/>
    <hyperlink ref="B34" location="'RCBD 8'!A1" display="Using Regression to deal with one missing element"/>
    <hyperlink ref="B25" location="RCBD!A1" display="RCBD (Example 1)"/>
    <hyperlink ref="B26" location="'RCBD 1'!A1" display="RCBD data analysis tool (Example 1)"/>
    <hyperlink ref="B27" location="'RCBD 1'!R1" display="Contrasts for RCBD (Example 2)"/>
    <hyperlink ref="B28" location="'RCBD 1'!AA1" display="Tukey HSD for RCBD (Example 3)"/>
    <hyperlink ref="B35" location="'RCBD 5'!A1" display="Real Statistics support for regression approach"/>
    <hyperlink ref="B36" location="'RCBD 6'!A1" display="RCBD with more than one missing element"/>
    <hyperlink ref="B31" location="'RCBD 2'!A1" display="Missing one element"/>
    <hyperlink ref="B32" location="'RCBD 3'!A1" display="Real Statistics support for imputation (one missing data element)"/>
    <hyperlink ref="B43" location="'Split 3'!A1" display="RCBD Split-plot Anova - model 2"/>
    <hyperlink ref="B44" location="'Split 4'!A1" display="CRD Split-plot Anova"/>
    <hyperlink ref="B47" location="'Split 5'!V1" display="Interaction (Example 4)"/>
    <hyperlink ref="B57" location="'Latin 5'!AH1" display="Tukey HSD (Example 4)"/>
    <hyperlink ref="B51" location="'Latin 1'!A1" display="Latin square analysis, Excel format (Example 1)"/>
    <hyperlink ref="B52" location="'Latin 2'!A1" display="Latin square with missing data"/>
    <hyperlink ref="B106" location="'ANOVA Match 2.5'!A1" display="Regression model"/>
    <hyperlink ref="B78" location="'ANOVA Match 1.5'!A1" display="Mauchly's test for sphericity (Example 3)"/>
    <hyperlink ref="B79" location="'ANOVA Match 1.6'!A1" display="More powerful test for sphericity, John, Nagao and Sugiura's test  (Example 4)"/>
    <hyperlink ref="B124" location="'ANCOVA 1'!A1" display="ANCOVA data (Example 1)"/>
    <hyperlink ref="B130" location="'ANCOVA 2'!R1" display="ANCOVA full model (Figure 5)"/>
    <hyperlink ref="B131" location="'ANCOVA 2'!A45" display="ANCOVA adjusted means (Figure 6 and 7)"/>
    <hyperlink ref="B143" location="'ANCOVA Contrasts'!A1" display="ANCOVA Contrasts (Example 1)"/>
    <hyperlink ref="B146" location="'ANCOVA Tukey'!A1" display="Tukey-Kramer for ANCOVA"/>
    <hyperlink ref="B149" location="'ANCOVA 2'!J52" display="ANCOVA effect sizes - omnibus test"/>
    <hyperlink ref="B11" location="'Rand Anova'!A1" display="One-way ANOVA with random factor (Example 1)"/>
    <hyperlink ref="B15" location="'Rand Anova 2'!A1" display="Two factor random Anova data analysis tool (Example 1)"/>
    <hyperlink ref="B19" location="'Nested 1a'!A1" display="Nested Anova data analysis tool (Example 1)"/>
    <hyperlink ref="B63" location="'ANOVA Match 1.2'!A1" display="Contrasts for ANOVA with repeated measures (Example 2)"/>
    <hyperlink ref="B73" location="'ANOVA Match 1.3'!N21" display="Effect size for ANOVA"/>
    <hyperlink ref="B71" location="'ANOVA Match 1.3'!G36" display="Calculation of GG and HF epsilon and lower bound correction (Figure 3)"/>
    <hyperlink ref="B72" location="'ANOVA Match 1.3'!N1" display="ANOVA with repeated measures corrected for sphericity (Example 2)"/>
    <hyperlink ref="B84" location="'ANOVA Match 2.2'!A1" display="Comparisons of means for interaction (Example 2)"/>
    <hyperlink ref="B85" location="'ANOVA Match 2.2'!Y1" display="Comparisons of means for interaction (Example 3)"/>
    <hyperlink ref="B91" location="'ANOVA Match 2.3'!BU90" display="Assumptions between subjects: Levene's test (Figure 6)"/>
    <hyperlink ref="B103" location="'ANOVA Match 2.3'!CK1" display="Box's test for equivalence of covariance matrices (Example 1 of Detail)"/>
    <hyperlink ref="B94" location="'ANOVA Match 2.3'!AQ1" display="Within subjects covariance matrices (Figure 9)"/>
    <hyperlink ref="B98" location="'ANOVA Match 2.3'!AQ14" display="Within subjects GG and HF epsilon factors for Young (Figure 13)"/>
    <hyperlink ref="B99" location="'ANOVA Match 2.3'!AX51" display="Summary of within subjects GG and HF epsilon factors (Figure 14)"/>
    <hyperlink ref="B100" location="'ANOVA Match 2.3'!AI33" display="Corrected within subjects simple effects ANOVA (Figure 15)"/>
    <hyperlink ref="B112" location="'Friedman 1'!F1" display="Real Statistics data analysis tool"/>
    <hyperlink ref="B114" location="'Friedman 1'!W1" display="Conover post-hoc test"/>
    <hyperlink ref="B115" location="'Friedman 1'!AE1" display="Pairwise signed-ranks post-hoc tests"/>
    <hyperlink ref="B64" location="'ANOVA Match 1.2a'!A1" display="Real Statistics data analysis tool"/>
    <hyperlink ref="B65" location="'ANOVA Match 1.2a'!V1" display="Contrasts data analysis"/>
    <hyperlink ref="B66" location="'ANOVA Match 1.2a'!AE1" display="Two types of Tukey HSD post-hoc test"/>
    <hyperlink ref="B67" location="'ANOVA Match 1.2a'!AY1" display="Pairwise paired t tests"/>
    <hyperlink ref="B113" location="'Friedman 1'!P1" display="Nenemyi post-hoc test"/>
    <hyperlink ref="B140" location="'ANCOVA 4'!A1" display="ANCOVA data analysis tool (Example 1)"/>
  </hyperlink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M83"/>
  <sheetViews>
    <sheetView workbookViewId="0"/>
  </sheetViews>
  <sheetFormatPr defaultRowHeight="15" x14ac:dyDescent="0.25"/>
  <cols>
    <col min="1" max="1" width="5" customWidth="1"/>
    <col min="2" max="5" width="7.5703125" customWidth="1"/>
    <col min="19" max="19" width="15.140625" customWidth="1"/>
  </cols>
  <sheetData>
    <row r="1" spans="1:65" ht="15.75" thickBot="1" x14ac:dyDescent="0.3">
      <c r="A1" s="1" t="s">
        <v>704</v>
      </c>
      <c r="G1" t="s">
        <v>501</v>
      </c>
      <c r="L1" t="s">
        <v>12</v>
      </c>
      <c r="S1" t="s">
        <v>705</v>
      </c>
      <c r="AA1" t="s">
        <v>712</v>
      </c>
      <c r="AL1" t="s">
        <v>713</v>
      </c>
      <c r="AW1" t="s">
        <v>714</v>
      </c>
      <c r="AZ1" t="s">
        <v>17</v>
      </c>
      <c r="BA1" s="365">
        <v>0.05</v>
      </c>
      <c r="BF1" t="s">
        <v>715</v>
      </c>
      <c r="BI1" t="s">
        <v>17</v>
      </c>
      <c r="BJ1" s="365">
        <v>0.05</v>
      </c>
    </row>
    <row r="2" spans="1:65" ht="15.75" thickTop="1" x14ac:dyDescent="0.25">
      <c r="AA2" s="191" t="s">
        <v>825</v>
      </c>
      <c r="AB2" s="191" t="s">
        <v>829</v>
      </c>
      <c r="AC2" s="191" t="s">
        <v>6</v>
      </c>
      <c r="AD2" s="191" t="s">
        <v>830</v>
      </c>
      <c r="AL2" s="191" t="s">
        <v>825</v>
      </c>
      <c r="AM2" s="191" t="s">
        <v>829</v>
      </c>
      <c r="AN2" s="191" t="s">
        <v>6</v>
      </c>
      <c r="AO2" s="191" t="s">
        <v>830</v>
      </c>
      <c r="AW2" s="191" t="s">
        <v>825</v>
      </c>
      <c r="AX2" s="191" t="s">
        <v>6</v>
      </c>
      <c r="AY2" s="191" t="s">
        <v>830</v>
      </c>
      <c r="AZ2" s="191" t="s">
        <v>183</v>
      </c>
      <c r="BA2" s="191" t="s">
        <v>37</v>
      </c>
      <c r="BB2" s="191" t="s">
        <v>113</v>
      </c>
      <c r="BC2" s="191" t="s">
        <v>826</v>
      </c>
      <c r="BF2" s="191" t="s">
        <v>825</v>
      </c>
      <c r="BG2" s="191" t="s">
        <v>6</v>
      </c>
      <c r="BH2" s="191" t="s">
        <v>830</v>
      </c>
      <c r="BI2" s="191" t="s">
        <v>183</v>
      </c>
      <c r="BJ2" s="191" t="s">
        <v>37</v>
      </c>
      <c r="BK2" s="191" t="s">
        <v>113</v>
      </c>
      <c r="BL2" s="191" t="s">
        <v>826</v>
      </c>
    </row>
    <row r="3" spans="1:65" ht="15.75" thickBot="1" x14ac:dyDescent="0.3">
      <c r="B3" s="365" t="s">
        <v>74</v>
      </c>
      <c r="C3" s="365" t="s">
        <v>65</v>
      </c>
      <c r="D3" s="365" t="s">
        <v>66</v>
      </c>
      <c r="E3" s="365" t="s">
        <v>67</v>
      </c>
      <c r="G3" s="370" t="e">
        <f t="array" aca="1" ref="G3:J38" ca="1">Split2Std(A3:E12, 3)</f>
        <v>#NAME?</v>
      </c>
      <c r="H3" s="371" t="e">
        <f ca="1"/>
        <v>#NAME?</v>
      </c>
      <c r="I3" s="371" t="e">
        <f ca="1"/>
        <v>#NAME?</v>
      </c>
      <c r="J3" s="372" t="e">
        <f ca="1"/>
        <v>#NAME?</v>
      </c>
      <c r="O3" s="12" t="s">
        <v>11</v>
      </c>
      <c r="P3" s="12" t="s">
        <v>8</v>
      </c>
      <c r="Q3" s="12" t="s">
        <v>48</v>
      </c>
      <c r="S3" t="s">
        <v>84</v>
      </c>
      <c r="W3" s="365" t="s">
        <v>17</v>
      </c>
      <c r="X3" s="365">
        <v>0.05</v>
      </c>
      <c r="AA3" s="351" t="e">
        <f t="array" ref="AA3:AA6" ca="1">N10:N13</f>
        <v>#NAME?</v>
      </c>
      <c r="AB3" s="382"/>
      <c r="AC3" s="351" t="e">
        <f t="array" ref="AC3:AC6" ca="1">P10:P13</f>
        <v>#NAME?</v>
      </c>
      <c r="AD3" s="351">
        <f t="array" ref="AD3:AD6" ca="1">O10:O13</f>
        <v>1296</v>
      </c>
      <c r="AL3" s="351" t="e">
        <f t="array" ref="AL3:AL5" ca="1">M7:M9</f>
        <v>#NAME?</v>
      </c>
      <c r="AM3" s="382"/>
      <c r="AN3" s="351" t="e">
        <f t="array" ref="AN3:AN5" ca="1">P7:P9</f>
        <v>#NAME?</v>
      </c>
      <c r="AO3" s="351">
        <f t="array" ref="AO3:AO5" ca="1">O7:O9</f>
        <v>1296</v>
      </c>
      <c r="AW3" s="351" t="e">
        <f t="array" ref="AW3:AW6" ca="1">N10:N13</f>
        <v>#NAME?</v>
      </c>
      <c r="AX3" s="351" t="e">
        <f t="array" ref="AX3:AX6" ca="1">P10:P13</f>
        <v>#NAME?</v>
      </c>
      <c r="AY3" s="351">
        <f t="array" ref="AY3:AY6" ca="1">O10:O13</f>
        <v>1296</v>
      </c>
      <c r="AZ3" s="351"/>
      <c r="BA3" s="351"/>
      <c r="BB3" s="351"/>
      <c r="BC3" s="351"/>
      <c r="BF3" s="351" t="e">
        <f t="array" ref="BF3:BF5" ca="1">M7:M9</f>
        <v>#NAME?</v>
      </c>
      <c r="BG3" s="351" t="e">
        <f t="array" ref="BG3:BG5" ca="1">P7:P9</f>
        <v>#NAME?</v>
      </c>
      <c r="BH3" s="351">
        <f t="array" ref="BH3:BH5" ca="1">O7:O9</f>
        <v>1296</v>
      </c>
      <c r="BI3" s="351"/>
      <c r="BJ3" s="351"/>
      <c r="BK3" s="351"/>
      <c r="BL3" s="351"/>
    </row>
    <row r="4" spans="1:65" ht="15.75" thickTop="1" x14ac:dyDescent="0.25">
      <c r="A4" s="365">
        <v>580</v>
      </c>
      <c r="B4" s="383">
        <v>217</v>
      </c>
      <c r="C4" s="379">
        <v>158</v>
      </c>
      <c r="D4" s="379">
        <v>229</v>
      </c>
      <c r="E4" s="384">
        <v>223</v>
      </c>
      <c r="G4" s="76" t="e">
        <f ca="1"/>
        <v>#NAME?</v>
      </c>
      <c r="H4" s="7" t="e">
        <f ca="1"/>
        <v>#NAME?</v>
      </c>
      <c r="I4" s="7" t="e">
        <f ca="1"/>
        <v>#NAME?</v>
      </c>
      <c r="J4" s="35" t="e">
        <f ca="1"/>
        <v>#NAME?</v>
      </c>
      <c r="L4" s="370" t="e">
        <f t="array" aca="1" ref="L4:L6" ca="1">SortUnique(G3:G38)</f>
        <v>#NAME?</v>
      </c>
      <c r="M4" s="371"/>
      <c r="N4" s="372"/>
      <c r="O4" s="370">
        <f ca="1">SUMIF($L$47:$L$82,L4,$O$47:$O$82)</f>
        <v>1296</v>
      </c>
      <c r="P4" s="371" t="e">
        <f ca="1">IF(O4=0,"",AVERAGEIF($G$3:$G$38,$L4,$J$3:$J$38))</f>
        <v>#NAME?</v>
      </c>
      <c r="Q4" s="372" t="e">
        <f t="array" aca="1" ref="Q4" ca="1">IF(O4&lt;2,"",VAR(IF($G$3:$G$38=$L4,$J$3:$J$38,"")))</f>
        <v>#NAME?</v>
      </c>
      <c r="S4" s="191"/>
      <c r="T4" s="191" t="s">
        <v>76</v>
      </c>
      <c r="U4" s="191" t="s">
        <v>37</v>
      </c>
      <c r="V4" s="191" t="s">
        <v>78</v>
      </c>
      <c r="W4" s="191" t="s">
        <v>68</v>
      </c>
      <c r="X4" s="191" t="s">
        <v>43</v>
      </c>
      <c r="Y4" s="191" t="s">
        <v>111</v>
      </c>
      <c r="AA4" s="7" t="e">
        <f ca="1"/>
        <v>#NAME?</v>
      </c>
      <c r="AB4" s="257">
        <v>-1</v>
      </c>
      <c r="AC4" s="7" t="e">
        <f ca="1"/>
        <v>#NAME?</v>
      </c>
      <c r="AD4" s="7">
        <f ca="1"/>
        <v>1296</v>
      </c>
      <c r="AL4" s="7" t="e">
        <f ca="1"/>
        <v>#NAME?</v>
      </c>
      <c r="AM4" s="257">
        <v>1</v>
      </c>
      <c r="AN4" s="7" t="e">
        <f ca="1"/>
        <v>#NAME?</v>
      </c>
      <c r="AO4" s="7">
        <f ca="1"/>
        <v>1296</v>
      </c>
      <c r="AW4" s="7" t="e">
        <f ca="1"/>
        <v>#NAME?</v>
      </c>
      <c r="AX4" s="7" t="e">
        <f ca="1"/>
        <v>#NAME?</v>
      </c>
      <c r="AY4" s="7">
        <f ca="1"/>
        <v>1296</v>
      </c>
      <c r="AZ4" s="7"/>
      <c r="BA4" s="7"/>
      <c r="BB4" s="7"/>
      <c r="BC4" s="7"/>
      <c r="BF4" s="7" t="e">
        <f ca="1"/>
        <v>#NAME?</v>
      </c>
      <c r="BG4" s="7" t="e">
        <f ca="1"/>
        <v>#NAME?</v>
      </c>
      <c r="BH4" s="7">
        <f ca="1"/>
        <v>1296</v>
      </c>
      <c r="BI4" s="7"/>
      <c r="BJ4" s="7"/>
      <c r="BK4" s="7"/>
      <c r="BL4" s="7"/>
    </row>
    <row r="5" spans="1:65" x14ac:dyDescent="0.25">
      <c r="A5" s="365">
        <v>600</v>
      </c>
      <c r="B5" s="107">
        <v>233</v>
      </c>
      <c r="C5" s="7">
        <v>138</v>
      </c>
      <c r="D5" s="7">
        <v>186</v>
      </c>
      <c r="E5" s="108">
        <v>227</v>
      </c>
      <c r="G5" s="76" t="e">
        <f ca="1"/>
        <v>#NAME?</v>
      </c>
      <c r="H5" s="7" t="e">
        <f ca="1"/>
        <v>#NAME?</v>
      </c>
      <c r="I5" s="7" t="e">
        <f ca="1"/>
        <v>#NAME?</v>
      </c>
      <c r="J5" s="35" t="e">
        <f ca="1"/>
        <v>#NAME?</v>
      </c>
      <c r="L5" s="76" t="e">
        <f ca="1"/>
        <v>#NAME?</v>
      </c>
      <c r="M5" s="7"/>
      <c r="N5" s="35"/>
      <c r="O5" s="76">
        <f t="shared" ref="O5:O6" ca="1" si="0">SUMIF($L$47:$L$82,L5,$O$47:$O$82)</f>
        <v>1296</v>
      </c>
      <c r="P5" s="7" t="e">
        <f t="shared" ref="P5:P6" ca="1" si="1">IF(O5=0,"",AVERAGEIF($G$3:$G$38,$L5,$J$3:$J$38))</f>
        <v>#NAME?</v>
      </c>
      <c r="Q5" s="35" t="e">
        <f t="array" aca="1" ref="Q5" ca="1">IF(O5&lt;2,"",VAR(IF($G$3:$G$38=$L5,$J$3:$J$38,"")))</f>
        <v>#NAME?</v>
      </c>
      <c r="S5" t="s">
        <v>706</v>
      </c>
      <c r="T5" t="e">
        <f ca="1">DEVSQ(P4:P6)*O4</f>
        <v>#NAME?</v>
      </c>
      <c r="U5">
        <f ca="1">COUNT(P4:P6)-1</f>
        <v>-1</v>
      </c>
      <c r="V5" t="e">
        <f t="shared" ref="V5:V11" ca="1" si="2">T5/U5</f>
        <v>#NAME?</v>
      </c>
      <c r="W5" t="e">
        <f ca="1">V5/V7</f>
        <v>#NAME?</v>
      </c>
      <c r="X5" t="e">
        <f ca="1">FDIST(W5,U5,U7)</f>
        <v>#NAME?</v>
      </c>
      <c r="Y5" s="365" t="e">
        <f ca="1">IF(X5&lt;X3,"yes","no")</f>
        <v>#NAME?</v>
      </c>
      <c r="AA5" s="7" t="e">
        <f ca="1"/>
        <v>#NAME?</v>
      </c>
      <c r="AB5" s="257">
        <v>1</v>
      </c>
      <c r="AC5" s="7" t="e">
        <f ca="1"/>
        <v>#NAME?</v>
      </c>
      <c r="AD5" s="7">
        <f ca="1"/>
        <v>1296</v>
      </c>
      <c r="AL5" s="353" t="e">
        <f ca="1"/>
        <v>#NAME?</v>
      </c>
      <c r="AM5" s="355">
        <v>-1</v>
      </c>
      <c r="AN5" s="353" t="e">
        <f ca="1"/>
        <v>#NAME?</v>
      </c>
      <c r="AO5" s="353">
        <f ca="1"/>
        <v>1296</v>
      </c>
      <c r="AW5" s="7" t="e">
        <f ca="1"/>
        <v>#NAME?</v>
      </c>
      <c r="AX5" s="7" t="e">
        <f ca="1"/>
        <v>#NAME?</v>
      </c>
      <c r="AY5" s="7">
        <f ca="1"/>
        <v>1296</v>
      </c>
      <c r="AZ5" s="7"/>
      <c r="BA5" s="7"/>
      <c r="BB5" s="7"/>
      <c r="BC5" s="7"/>
      <c r="BF5" s="353" t="e">
        <f ca="1"/>
        <v>#NAME?</v>
      </c>
      <c r="BG5" s="353" t="e">
        <f ca="1"/>
        <v>#NAME?</v>
      </c>
      <c r="BH5" s="353">
        <f ca="1"/>
        <v>1296</v>
      </c>
      <c r="BI5" s="353"/>
      <c r="BJ5" s="353"/>
      <c r="BK5" s="353"/>
      <c r="BL5" s="353"/>
    </row>
    <row r="6" spans="1:65" x14ac:dyDescent="0.25">
      <c r="A6" s="365">
        <v>620</v>
      </c>
      <c r="B6" s="107">
        <v>175</v>
      </c>
      <c r="C6" s="7">
        <v>152</v>
      </c>
      <c r="D6" s="7">
        <v>155</v>
      </c>
      <c r="E6" s="108">
        <v>156</v>
      </c>
      <c r="G6" s="76" t="e">
        <f ca="1"/>
        <v>#NAME?</v>
      </c>
      <c r="H6" s="7" t="e">
        <f ca="1"/>
        <v>#NAME?</v>
      </c>
      <c r="I6" s="7" t="e">
        <f ca="1"/>
        <v>#NAME?</v>
      </c>
      <c r="J6" s="35" t="e">
        <f ca="1"/>
        <v>#NAME?</v>
      </c>
      <c r="L6" s="76" t="e">
        <f ca="1"/>
        <v>#NAME?</v>
      </c>
      <c r="M6" s="7"/>
      <c r="N6" s="35"/>
      <c r="O6" s="76">
        <f t="shared" ca="1" si="0"/>
        <v>1296</v>
      </c>
      <c r="P6" s="7" t="e">
        <f t="shared" ca="1" si="1"/>
        <v>#NAME?</v>
      </c>
      <c r="Q6" s="35" t="e">
        <f t="array" aca="1" ref="Q6" ca="1">IF(O6&lt;2,"",VAR(IF($G$3:$G$38=$L6,$J$3:$J$38,"")))</f>
        <v>#NAME?</v>
      </c>
      <c r="S6" t="s">
        <v>707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365" t="e">
        <f ca="1">IF(X6&lt;X3,"yes","no")</f>
        <v>#NAME?</v>
      </c>
      <c r="AA6" s="353" t="e">
        <f ca="1"/>
        <v>#NAME?</v>
      </c>
      <c r="AB6" s="355"/>
      <c r="AC6" s="353" t="e">
        <f ca="1"/>
        <v>#NAME?</v>
      </c>
      <c r="AD6" s="353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353" t="e">
        <f ca="1"/>
        <v>#NAME?</v>
      </c>
      <c r="AX6" s="353" t="e">
        <f ca="1"/>
        <v>#NAME?</v>
      </c>
      <c r="AY6" s="353">
        <f ca="1"/>
        <v>1296</v>
      </c>
      <c r="AZ6" s="353"/>
      <c r="BA6" s="353"/>
      <c r="BB6" s="353"/>
      <c r="BC6" s="353"/>
      <c r="BH6">
        <f ca="1">HARMEAN(BH3:BH5)</f>
        <v>1296</v>
      </c>
      <c r="BI6" t="e">
        <f ca="1">SQRT(V10/BH6)</f>
        <v>#NAME?</v>
      </c>
      <c r="BJ6">
        <f ca="1">U10</f>
        <v>1296</v>
      </c>
      <c r="BK6" t="e">
        <f ca="1">QCRIT(COUNT(BH3:BH5),BJ6,BJ1,2)</f>
        <v>#NAME?</v>
      </c>
      <c r="BL6" t="e">
        <f ca="1">BI6*BK6</f>
        <v>#NAME?</v>
      </c>
    </row>
    <row r="7" spans="1:65" ht="15.75" thickBot="1" x14ac:dyDescent="0.3">
      <c r="A7" s="365">
        <v>580</v>
      </c>
      <c r="B7" s="383">
        <v>188</v>
      </c>
      <c r="C7" s="351">
        <v>126</v>
      </c>
      <c r="D7" s="351">
        <v>160</v>
      </c>
      <c r="E7" s="359">
        <v>201</v>
      </c>
      <c r="G7" s="76" t="e">
        <f ca="1"/>
        <v>#NAME?</v>
      </c>
      <c r="H7" s="7" t="e">
        <f ca="1"/>
        <v>#NAME?</v>
      </c>
      <c r="I7" s="7" t="e">
        <f ca="1"/>
        <v>#NAME?</v>
      </c>
      <c r="J7" s="35" t="e">
        <f ca="1"/>
        <v>#NAME?</v>
      </c>
      <c r="L7" s="76"/>
      <c r="M7" s="7" t="e">
        <f t="array" aca="1" ref="M7:M9" ca="1">SortUnique(H3:H38)</f>
        <v>#NAME?</v>
      </c>
      <c r="N7" s="35"/>
      <c r="O7" s="76">
        <f ca="1">SUMIF($M$47:$M$82,M7,$O$47:$O$82)</f>
        <v>1296</v>
      </c>
      <c r="P7" s="7" t="e">
        <f ca="1">IF(O7=0,"",AVERAGEIF($H$3:$H$38,$M7,$J$3:$J$38))</f>
        <v>#NAME?</v>
      </c>
      <c r="Q7" s="35" t="e">
        <f t="array" aca="1" ref="Q7" ca="1">IF(O7&lt;2,"",VAR(IF($H$3:$H$38=$M7,$J$3:$J$38,"")))</f>
        <v>#NAME?</v>
      </c>
      <c r="S7" s="353" t="s">
        <v>708</v>
      </c>
      <c r="T7" s="353" t="e">
        <f ca="1">DEVSQ(P23:P34)*O23-T5-T6</f>
        <v>#NAME?</v>
      </c>
      <c r="U7" s="353">
        <f ca="1">U5*U6</f>
        <v>1</v>
      </c>
      <c r="V7" s="353" t="e">
        <f t="shared" ca="1" si="2"/>
        <v>#NAME?</v>
      </c>
      <c r="W7" s="353" t="e">
        <f ca="1">V7/V10</f>
        <v>#NAME?</v>
      </c>
      <c r="X7" s="353" t="e">
        <f ca="1">FDIST(W7,U7,U10)</f>
        <v>#NAME?</v>
      </c>
      <c r="Y7" s="385" t="e">
        <f ca="1">IF(X7&lt;X3,"yes","no")</f>
        <v>#NAME?</v>
      </c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42</v>
      </c>
      <c r="AQ7" t="s">
        <v>17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QCRIT(COUNT(AY3:AY6),BA7,BA1,2)</f>
        <v>#NAME?</v>
      </c>
      <c r="BC7" t="e">
        <f ca="1">AZ7*BB7</f>
        <v>#NAME?</v>
      </c>
      <c r="BF7" t="s">
        <v>498</v>
      </c>
    </row>
    <row r="8" spans="1:65" ht="16.5" thickTop="1" thickBot="1" x14ac:dyDescent="0.3">
      <c r="A8" s="365">
        <v>600</v>
      </c>
      <c r="B8" s="107">
        <v>201</v>
      </c>
      <c r="C8" s="7">
        <v>130</v>
      </c>
      <c r="D8" s="7">
        <v>170</v>
      </c>
      <c r="E8" s="108">
        <v>181</v>
      </c>
      <c r="G8" s="76" t="e">
        <f ca="1"/>
        <v>#NAME?</v>
      </c>
      <c r="H8" s="7" t="e">
        <f ca="1"/>
        <v>#NAME?</v>
      </c>
      <c r="I8" s="7" t="e">
        <f ca="1"/>
        <v>#NAME?</v>
      </c>
      <c r="J8" s="35" t="e">
        <f ca="1"/>
        <v>#NAME?</v>
      </c>
      <c r="L8" s="76"/>
      <c r="M8" s="7" t="e">
        <f ca="1"/>
        <v>#NAME?</v>
      </c>
      <c r="N8" s="35"/>
      <c r="O8" s="76">
        <f t="shared" ref="O8:O9" ca="1" si="3">SUMIF($M$47:$M$82,M8,$O$47:$O$82)</f>
        <v>1296</v>
      </c>
      <c r="P8" s="7" t="e">
        <f t="shared" ref="P8:P9" ca="1" si="4">IF(O8=0,"",AVERAGEIF($H$3:$H$38,$M8,$J$3:$J$38))</f>
        <v>#NAME?</v>
      </c>
      <c r="Q8" s="35" t="e">
        <f t="array" aca="1" ref="Q8" ca="1">IF(O8&lt;2,"",VAR(IF($H$3:$H$38=$M8,$J$3:$J$38,"")))</f>
        <v>#NAME?</v>
      </c>
      <c r="S8" t="s">
        <v>709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V8/V10</f>
        <v>#NAME?</v>
      </c>
      <c r="X8" t="e">
        <f ca="1">FDIST(W8,U8,U10)</f>
        <v>#NAME?</v>
      </c>
      <c r="Y8" s="365" t="e">
        <f ca="1">IF(X8&lt;X3,"yes","no")</f>
        <v>#NAME?</v>
      </c>
      <c r="AA8" t="s">
        <v>42</v>
      </c>
      <c r="AF8" t="s">
        <v>17</v>
      </c>
      <c r="AG8">
        <v>0.05</v>
      </c>
      <c r="AL8" s="191" t="s">
        <v>183</v>
      </c>
      <c r="AM8" s="191" t="s">
        <v>53</v>
      </c>
      <c r="AN8" s="191" t="s">
        <v>37</v>
      </c>
      <c r="AO8" s="191" t="s">
        <v>43</v>
      </c>
      <c r="AP8" s="191" t="s">
        <v>44</v>
      </c>
      <c r="AQ8" s="191" t="s">
        <v>14</v>
      </c>
      <c r="AR8" s="191" t="s">
        <v>15</v>
      </c>
      <c r="AS8" s="191" t="s">
        <v>111</v>
      </c>
      <c r="AT8" s="191" t="s">
        <v>41</v>
      </c>
      <c r="AU8" s="191" t="s">
        <v>192</v>
      </c>
      <c r="AW8" t="s">
        <v>498</v>
      </c>
      <c r="BF8" s="191" t="s">
        <v>827</v>
      </c>
      <c r="BG8" s="191" t="s">
        <v>828</v>
      </c>
      <c r="BH8" s="191" t="s">
        <v>6</v>
      </c>
      <c r="BI8" s="191" t="s">
        <v>497</v>
      </c>
      <c r="BJ8" s="191" t="s">
        <v>14</v>
      </c>
      <c r="BK8" s="191" t="s">
        <v>15</v>
      </c>
      <c r="BL8" s="191" t="s">
        <v>43</v>
      </c>
      <c r="BM8" s="191" t="s">
        <v>41</v>
      </c>
    </row>
    <row r="9" spans="1:65" ht="15.75" thickTop="1" x14ac:dyDescent="0.25">
      <c r="A9" s="365">
        <v>620</v>
      </c>
      <c r="B9" s="52">
        <v>195</v>
      </c>
      <c r="C9" s="353">
        <v>147</v>
      </c>
      <c r="D9" s="353">
        <v>161</v>
      </c>
      <c r="E9" s="56">
        <v>172</v>
      </c>
      <c r="G9" s="76" t="e">
        <f ca="1"/>
        <v>#NAME?</v>
      </c>
      <c r="H9" s="7" t="e">
        <f ca="1"/>
        <v>#NAME?</v>
      </c>
      <c r="I9" s="7" t="e">
        <f ca="1"/>
        <v>#NAME?</v>
      </c>
      <c r="J9" s="35" t="e">
        <f ca="1"/>
        <v>#NAME?</v>
      </c>
      <c r="L9" s="76"/>
      <c r="M9" s="7" t="e">
        <f ca="1"/>
        <v>#NAME?</v>
      </c>
      <c r="N9" s="35"/>
      <c r="O9" s="76">
        <f t="shared" ca="1" si="3"/>
        <v>1296</v>
      </c>
      <c r="P9" s="7" t="e">
        <f t="shared" ca="1" si="4"/>
        <v>#NAME?</v>
      </c>
      <c r="Q9" s="35" t="e">
        <f t="array" aca="1" ref="Q9" ca="1">IF(O9&lt;2,"",VAR(IF($H$3:$H$38=$M9,$J$3:$J$38,"")))</f>
        <v>#NAME?</v>
      </c>
      <c r="S9" t="s">
        <v>710</v>
      </c>
      <c r="T9" t="e">
        <f ca="1">DEVSQ(P35:P46)*O35-T6-T8</f>
        <v>#NAME?</v>
      </c>
      <c r="U9">
        <f ca="1">U6*U8</f>
        <v>1</v>
      </c>
      <c r="V9" t="e">
        <f t="shared" ca="1" si="2"/>
        <v>#NAME?</v>
      </c>
      <c r="W9" t="e">
        <f ca="1">V9/V10</f>
        <v>#NAME?</v>
      </c>
      <c r="X9" t="e">
        <f ca="1">FDIST(W9,U9,U10)</f>
        <v>#NAME?</v>
      </c>
      <c r="Y9" s="365" t="e">
        <f ca="1">IF(X9&lt;X3,"yes","no")</f>
        <v>#NAME?</v>
      </c>
      <c r="AA9" s="191" t="s">
        <v>183</v>
      </c>
      <c r="AB9" s="191" t="s">
        <v>53</v>
      </c>
      <c r="AC9" s="191" t="s">
        <v>37</v>
      </c>
      <c r="AD9" s="191" t="s">
        <v>43</v>
      </c>
      <c r="AE9" s="191" t="s">
        <v>44</v>
      </c>
      <c r="AF9" s="191" t="s">
        <v>14</v>
      </c>
      <c r="AG9" s="191" t="s">
        <v>15</v>
      </c>
      <c r="AH9" s="191" t="s">
        <v>111</v>
      </c>
      <c r="AI9" s="191" t="s">
        <v>41</v>
      </c>
      <c r="AJ9" s="191" t="s">
        <v>192</v>
      </c>
      <c r="AL9" s="380" t="e">
        <f ca="1">SQRT(V10*SUMPRODUCT(AM3:AM5^2,1/AO3:AO5))</f>
        <v>#NAME?</v>
      </c>
      <c r="AM9" s="380" t="e">
        <f ca="1">AN6/AL9</f>
        <v>#NAME?</v>
      </c>
      <c r="AN9" s="380">
        <f ca="1">U10</f>
        <v>1296</v>
      </c>
      <c r="AO9" s="380" t="e">
        <f ca="1">TDIST(ABS(AM9),AN9,2)</f>
        <v>#NAME?</v>
      </c>
      <c r="AP9" s="380">
        <f ca="1">TINV(AR7,AN9)</f>
        <v>1.961796122353757</v>
      </c>
      <c r="AQ9" s="380" t="e">
        <f ca="1">AN6-AL9*AP9</f>
        <v>#NAME?</v>
      </c>
      <c r="AR9" s="380" t="e">
        <f ca="1">AN6+AL9*AP9</f>
        <v>#NAME?</v>
      </c>
      <c r="AS9" s="381" t="e">
        <f ca="1">IF(AO9&lt;AR7,"yes","no")</f>
        <v>#NAME?</v>
      </c>
      <c r="AT9" s="380" t="e">
        <f ca="1">ABS(AN6)/SQRT(V10)</f>
        <v>#NAME?</v>
      </c>
      <c r="AU9" s="380" t="e">
        <f ca="1">SQRT(AM9^2/(AM9^2+AN9))</f>
        <v>#NAME?</v>
      </c>
      <c r="AW9" s="191" t="s">
        <v>827</v>
      </c>
      <c r="AX9" s="191" t="s">
        <v>828</v>
      </c>
      <c r="AY9" s="191" t="s">
        <v>6</v>
      </c>
      <c r="AZ9" s="191" t="s">
        <v>497</v>
      </c>
      <c r="BA9" s="191" t="s">
        <v>14</v>
      </c>
      <c r="BB9" s="191" t="s">
        <v>15</v>
      </c>
      <c r="BC9" s="191" t="s">
        <v>43</v>
      </c>
      <c r="BD9" s="191" t="s">
        <v>41</v>
      </c>
      <c r="BF9" s="351" t="e">
        <f ca="1">BF3</f>
        <v>#NAME?</v>
      </c>
      <c r="BG9" s="351" t="e">
        <f ca="1">BF4</f>
        <v>#NAME?</v>
      </c>
      <c r="BH9" s="351" t="e">
        <f ca="1">ABS(BG3-BG4)</f>
        <v>#NAME?</v>
      </c>
      <c r="BI9" s="351" t="e">
        <f ca="1">BH9/BI$6</f>
        <v>#NAME?</v>
      </c>
      <c r="BJ9" s="351" t="e">
        <f ca="1">BH9-BL$6</f>
        <v>#NAME?</v>
      </c>
      <c r="BK9" s="351" t="e">
        <f ca="1">BH9+BL$6</f>
        <v>#NAME?</v>
      </c>
      <c r="BL9" s="351" t="e">
        <f ca="1">QDIST(BI9,COUNT(BH$3:BH$5),BJ$6)</f>
        <v>#NAME?</v>
      </c>
      <c r="BM9" s="351" t="e">
        <f ca="1">ABS(BH9)/SQRT(V$10)</f>
        <v>#NAME?</v>
      </c>
    </row>
    <row r="10" spans="1:65" x14ac:dyDescent="0.25">
      <c r="A10" s="365">
        <v>580</v>
      </c>
      <c r="B10" s="107">
        <v>162</v>
      </c>
      <c r="C10" s="7">
        <v>122</v>
      </c>
      <c r="D10" s="7">
        <v>167</v>
      </c>
      <c r="E10" s="108">
        <v>182</v>
      </c>
      <c r="G10" s="76" t="e">
        <f ca="1"/>
        <v>#NAME?</v>
      </c>
      <c r="H10" s="7" t="e">
        <f ca="1"/>
        <v>#NAME?</v>
      </c>
      <c r="I10" s="7" t="e">
        <f ca="1"/>
        <v>#NAME?</v>
      </c>
      <c r="J10" s="35" t="e">
        <f ca="1"/>
        <v>#NAME?</v>
      </c>
      <c r="L10" s="76"/>
      <c r="M10" s="7"/>
      <c r="N10" s="35" t="e">
        <f t="array" aca="1" ref="N10:N13" ca="1">SortUnique(I3:I38)</f>
        <v>#NAME?</v>
      </c>
      <c r="O10" s="76">
        <f ca="1">SUMIF($N$47:$N$82,N10,$O$47:$O$82)</f>
        <v>1296</v>
      </c>
      <c r="P10" s="7" t="e">
        <f ca="1">IF(O10=0,"",AVERAGEIF($I$3:$I$38,$N10,$J$3:$J$38))</f>
        <v>#NAME?</v>
      </c>
      <c r="Q10" s="35" t="e">
        <f t="array" aca="1" ref="Q10" ca="1">IF(O10&lt;2,"",VAR(IF($I$3:$I$38=$N10,$J$3:$J$38,"")))</f>
        <v>#NAME?</v>
      </c>
      <c r="S10" t="s">
        <v>711</v>
      </c>
      <c r="T10" t="e">
        <f ca="1">T11-SUM(T5:T9)</f>
        <v>#NAME?</v>
      </c>
      <c r="U10">
        <f ca="1">U11-SUM(U5:U9)</f>
        <v>1296</v>
      </c>
      <c r="V10" t="e">
        <f t="shared" ca="1" si="2"/>
        <v>#NAME?</v>
      </c>
      <c r="AA10" s="380" t="e">
        <f ca="1">SQRT(V7*SUMPRODUCT(AB3:AB6^2,1/AD3:AD6))</f>
        <v>#NAME?</v>
      </c>
      <c r="AB10" s="380" t="e">
        <f ca="1">AC7/AA10</f>
        <v>#NAME?</v>
      </c>
      <c r="AC10" s="380">
        <f ca="1">U7</f>
        <v>1</v>
      </c>
      <c r="AD10" s="380" t="e">
        <f ca="1">TDIST(ABS(AB10),AC10,2)</f>
        <v>#NAME?</v>
      </c>
      <c r="AE10" s="380">
        <f ca="1">TINV(AG8,AC10)</f>
        <v>12.706204736174707</v>
      </c>
      <c r="AF10" s="380" t="e">
        <f ca="1">AC7-AA10*AE10</f>
        <v>#NAME?</v>
      </c>
      <c r="AG10" s="380" t="e">
        <f ca="1">AC7+AA10*AE10</f>
        <v>#NAME?</v>
      </c>
      <c r="AH10" s="381" t="e">
        <f ca="1">IF(AD10&lt;AG8,"yes","no")</f>
        <v>#NAME?</v>
      </c>
      <c r="AI10" s="380" t="e">
        <f ca="1">ABS(AC7)/SQRT(V7)</f>
        <v>#NAME?</v>
      </c>
      <c r="AJ10" s="380" t="e">
        <f ca="1">SQRT(AB10^2/(AB10^2+AC10))</f>
        <v>#NAME?</v>
      </c>
      <c r="AW10" s="351" t="e">
        <f ca="1">AW3</f>
        <v>#NAME?</v>
      </c>
      <c r="AX10" s="351" t="e">
        <f ca="1">AW4</f>
        <v>#NAME?</v>
      </c>
      <c r="AY10" s="351" t="e">
        <f ca="1">ABS(AX3-AX4)</f>
        <v>#NAME?</v>
      </c>
      <c r="AZ10" s="351" t="e">
        <f ca="1">AY10/AZ$7</f>
        <v>#NAME?</v>
      </c>
      <c r="BA10" s="351" t="e">
        <f ca="1">AY10-BC$7</f>
        <v>#NAME?</v>
      </c>
      <c r="BB10" s="351" t="e">
        <f ca="1">AY10+BC$7</f>
        <v>#NAME?</v>
      </c>
      <c r="BC10" s="351" t="e">
        <f ca="1">QDIST(AZ10,COUNT(AY$3:AY$6),BA$7)</f>
        <v>#NAME?</v>
      </c>
      <c r="BD10" s="351" t="e">
        <f ca="1">ABS(AY10)/SQRT(V$7)</f>
        <v>#NAME?</v>
      </c>
      <c r="BF10" s="7" t="e">
        <f ca="1">BF3</f>
        <v>#NAME?</v>
      </c>
      <c r="BG10" s="7" t="e">
        <f ca="1">BF5</f>
        <v>#NAME?</v>
      </c>
      <c r="BH10" s="7" t="e">
        <f ca="1">ABS(BG3-BG5)</f>
        <v>#NAME?</v>
      </c>
      <c r="BI10" s="7" t="e">
        <f t="shared" ref="BI10:BI11" ca="1" si="5">BH10/BI$6</f>
        <v>#NAME?</v>
      </c>
      <c r="BJ10" s="7" t="e">
        <f t="shared" ref="BJ10:BJ11" ca="1" si="6">BH10-BL$6</f>
        <v>#NAME?</v>
      </c>
      <c r="BK10" s="7" t="e">
        <f t="shared" ref="BK10:BK11" ca="1" si="7">BH10+BL$6</f>
        <v>#NAME?</v>
      </c>
      <c r="BL10" s="7" t="e">
        <f ca="1">QDIST(BI10,COUNT(BH$3:BH$5),BJ$6)</f>
        <v>#NAME?</v>
      </c>
      <c r="BM10" s="7" t="e">
        <f ca="1">ABS(BH10)/SQRT(V$10)</f>
        <v>#NAME?</v>
      </c>
    </row>
    <row r="11" spans="1:65" x14ac:dyDescent="0.25">
      <c r="A11" s="365">
        <v>600</v>
      </c>
      <c r="B11" s="107">
        <v>170</v>
      </c>
      <c r="C11" s="7">
        <v>185</v>
      </c>
      <c r="D11" s="7">
        <v>181</v>
      </c>
      <c r="E11" s="108">
        <v>201</v>
      </c>
      <c r="G11" s="76" t="e">
        <f ca="1"/>
        <v>#NAME?</v>
      </c>
      <c r="H11" s="7" t="e">
        <f ca="1"/>
        <v>#NAME?</v>
      </c>
      <c r="I11" s="7" t="e">
        <f ca="1"/>
        <v>#NAME?</v>
      </c>
      <c r="J11" s="35" t="e">
        <f ca="1"/>
        <v>#NAME?</v>
      </c>
      <c r="L11" s="76"/>
      <c r="M11" s="7"/>
      <c r="N11" s="35" t="e">
        <f ca="1"/>
        <v>#NAME?</v>
      </c>
      <c r="O11" s="76">
        <f t="shared" ref="O11:O13" ca="1" si="8">SUMIF($N$47:$N$82,N11,$O$47:$O$82)</f>
        <v>1296</v>
      </c>
      <c r="P11" s="7" t="e">
        <f t="shared" ref="P11:P13" ca="1" si="9">IF(O11=0,"",AVERAGEIF($I$3:$I$38,$N11,$J$3:$J$38))</f>
        <v>#NAME?</v>
      </c>
      <c r="Q11" s="35" t="e">
        <f t="array" aca="1" ref="Q11" ca="1">IF(O11&lt;2,"",VAR(IF($I$3:$I$38=$N11,$J$3:$J$38,"")))</f>
        <v>#NAME?</v>
      </c>
      <c r="S11" s="353" t="s">
        <v>1</v>
      </c>
      <c r="T11" s="353" t="e">
        <f ca="1">Q83*U11</f>
        <v>#NAME?</v>
      </c>
      <c r="U11" s="353">
        <f ca="1">O83-1</f>
        <v>1295</v>
      </c>
      <c r="V11" s="353" t="e">
        <f t="shared" ca="1" si="2"/>
        <v>#NAME?</v>
      </c>
      <c r="W11" s="353"/>
      <c r="X11" s="353"/>
      <c r="Y11" s="353"/>
      <c r="AW11" s="7" t="e">
        <f ca="1">AW3</f>
        <v>#NAME?</v>
      </c>
      <c r="AX11" s="7" t="e">
        <f ca="1">AW5</f>
        <v>#NAME?</v>
      </c>
      <c r="AY11" s="7" t="e">
        <f ca="1">ABS(AX3-AX5)</f>
        <v>#NAME?</v>
      </c>
      <c r="AZ11" s="7" t="e">
        <f t="shared" ref="AZ11:AZ15" ca="1" si="10">AY11/AZ$7</f>
        <v>#NAME?</v>
      </c>
      <c r="BA11" s="7" t="e">
        <f t="shared" ref="BA11:BA15" ca="1" si="11">AY11-BC$7</f>
        <v>#NAME?</v>
      </c>
      <c r="BB11" s="7" t="e">
        <f t="shared" ref="BB11:BB15" ca="1" si="12">AY11+BC$7</f>
        <v>#NAME?</v>
      </c>
      <c r="BC11" s="7" t="e">
        <f ca="1">QDIST(AZ11,COUNT(AY$3:AY$6),BA$7)</f>
        <v>#NAME?</v>
      </c>
      <c r="BD11" s="7" t="e">
        <f t="shared" ref="BD11:BD15" ca="1" si="13">ABS(AY11)/SQRT(V$7)</f>
        <v>#NAME?</v>
      </c>
      <c r="BF11" s="353" t="e">
        <f ca="1">BF4</f>
        <v>#NAME?</v>
      </c>
      <c r="BG11" s="353" t="e">
        <f ca="1">BF5</f>
        <v>#NAME?</v>
      </c>
      <c r="BH11" s="353" t="e">
        <f ca="1">ABS(BG4-BG5)</f>
        <v>#NAME?</v>
      </c>
      <c r="BI11" s="353" t="e">
        <f t="shared" ca="1" si="5"/>
        <v>#NAME?</v>
      </c>
      <c r="BJ11" s="353" t="e">
        <f t="shared" ca="1" si="6"/>
        <v>#NAME?</v>
      </c>
      <c r="BK11" s="353" t="e">
        <f t="shared" ca="1" si="7"/>
        <v>#NAME?</v>
      </c>
      <c r="BL11" s="353" t="e">
        <f ca="1">QDIST(BI11,COUNT(BH$3:BH$5),BJ$6)</f>
        <v>#NAME?</v>
      </c>
      <c r="BM11" s="353" t="e">
        <f ca="1">ABS(BH11)/SQRT(V$10)</f>
        <v>#NAME?</v>
      </c>
    </row>
    <row r="12" spans="1:65" x14ac:dyDescent="0.25">
      <c r="A12" s="365">
        <v>620</v>
      </c>
      <c r="B12" s="52">
        <v>213</v>
      </c>
      <c r="C12" s="353">
        <v>180</v>
      </c>
      <c r="D12" s="353">
        <v>182</v>
      </c>
      <c r="E12" s="56">
        <v>199</v>
      </c>
      <c r="G12" s="76" t="e">
        <f ca="1"/>
        <v>#NAME?</v>
      </c>
      <c r="H12" s="7" t="e">
        <f ca="1"/>
        <v>#NAME?</v>
      </c>
      <c r="I12" s="7" t="e">
        <f ca="1"/>
        <v>#NAME?</v>
      </c>
      <c r="J12" s="35" t="e">
        <f ca="1"/>
        <v>#NAME?</v>
      </c>
      <c r="L12" s="76"/>
      <c r="M12" s="7"/>
      <c r="N12" s="35" t="e">
        <f ca="1"/>
        <v>#NAME?</v>
      </c>
      <c r="O12" s="76">
        <f t="shared" ca="1" si="8"/>
        <v>1296</v>
      </c>
      <c r="P12" s="7" t="e">
        <f t="shared" ca="1" si="9"/>
        <v>#NAME?</v>
      </c>
      <c r="Q12" s="35" t="e">
        <f t="array" aca="1" ref="Q12" ca="1">IF(O12&lt;2,"",VAR(IF($I$3:$I$38=$N12,$J$3:$J$38,"")))</f>
        <v>#NAME?</v>
      </c>
      <c r="AW12" s="7" t="e">
        <f ca="1">AW3</f>
        <v>#NAME?</v>
      </c>
      <c r="AX12" s="7" t="e">
        <f ca="1">AW6</f>
        <v>#NAME?</v>
      </c>
      <c r="AY12" s="7" t="e">
        <f ca="1">ABS(AX3-AX6)</f>
        <v>#NAME?</v>
      </c>
      <c r="AZ12" s="7" t="e">
        <f t="shared" ca="1" si="10"/>
        <v>#NAME?</v>
      </c>
      <c r="BA12" s="7" t="e">
        <f t="shared" ca="1" si="11"/>
        <v>#NAME?</v>
      </c>
      <c r="BB12" s="7" t="e">
        <f t="shared" ca="1" si="12"/>
        <v>#NAME?</v>
      </c>
      <c r="BC12" s="7" t="e">
        <f ca="1">QDIST(AZ12,COUNT(AY$3:AY$6),BA$7)</f>
        <v>#NAME?</v>
      </c>
      <c r="BD12" s="7" t="e">
        <f t="shared" ca="1" si="13"/>
        <v>#NAME?</v>
      </c>
    </row>
    <row r="13" spans="1:65" x14ac:dyDescent="0.25">
      <c r="G13" s="76" t="e">
        <f ca="1"/>
        <v>#NAME?</v>
      </c>
      <c r="H13" s="7" t="e">
        <f ca="1"/>
        <v>#NAME?</v>
      </c>
      <c r="I13" s="7" t="e">
        <f ca="1"/>
        <v>#NAME?</v>
      </c>
      <c r="J13" s="35" t="e">
        <f ca="1"/>
        <v>#NAME?</v>
      </c>
      <c r="L13" s="348"/>
      <c r="M13" s="349"/>
      <c r="N13" s="350" t="e">
        <f ca="1"/>
        <v>#NAME?</v>
      </c>
      <c r="O13" s="348">
        <f t="shared" ca="1" si="8"/>
        <v>1296</v>
      </c>
      <c r="P13" s="349" t="e">
        <f t="shared" ca="1" si="9"/>
        <v>#NAME?</v>
      </c>
      <c r="Q13" s="350" t="e">
        <f t="array" aca="1" ref="Q13" ca="1">IF(O13&lt;2,"",VAR(IF($I$3:$I$38=$N13,$J$3:$J$38,"")))</f>
        <v>#NAME?</v>
      </c>
      <c r="AW13" s="7" t="e">
        <f ca="1">AW4</f>
        <v>#NAME?</v>
      </c>
      <c r="AX13" s="7" t="e">
        <f ca="1">AW5</f>
        <v>#NAME?</v>
      </c>
      <c r="AY13" s="7" t="e">
        <f ca="1">ABS(AX4-AX5)</f>
        <v>#NAME?</v>
      </c>
      <c r="AZ13" s="7" t="e">
        <f t="shared" ca="1" si="10"/>
        <v>#NAME?</v>
      </c>
      <c r="BA13" s="7" t="e">
        <f t="shared" ca="1" si="11"/>
        <v>#NAME?</v>
      </c>
      <c r="BB13" s="7" t="e">
        <f t="shared" ca="1" si="12"/>
        <v>#NAME?</v>
      </c>
      <c r="BC13" s="7" t="e">
        <f ca="1">QDIST(AZ13,COUNT(AY$3:AY$6),BA$7)</f>
        <v>#NAME?</v>
      </c>
      <c r="BD13" s="7" t="e">
        <f t="shared" ca="1" si="13"/>
        <v>#NAME?</v>
      </c>
    </row>
    <row r="14" spans="1:65" x14ac:dyDescent="0.25">
      <c r="G14" s="76" t="e">
        <f ca="1"/>
        <v>#NAME?</v>
      </c>
      <c r="H14" s="7" t="e">
        <f ca="1"/>
        <v>#NAME?</v>
      </c>
      <c r="I14" s="7" t="e">
        <f ca="1"/>
        <v>#NAME?</v>
      </c>
      <c r="J14" s="35" t="e">
        <f ca="1"/>
        <v>#NAME?</v>
      </c>
      <c r="L14" s="386" t="e">
        <f ca="1">$L$4</f>
        <v>#NAME?</v>
      </c>
      <c r="M14" s="387" t="e">
        <f ca="1">$M7</f>
        <v>#NAME?</v>
      </c>
      <c r="N14" s="388"/>
      <c r="O14" s="386">
        <f ca="1">SUMIFS($O$47:$O$82,$L$47:$L$82,L14,$M$47:$M$82,M14)</f>
        <v>1296</v>
      </c>
      <c r="P14" s="387" t="e">
        <f ca="1">IF(O14=0,"",AVERAGEIFS($J$3:$J$38,$G$3:$G$38,$L14,$H$3:$H$38,$M14))</f>
        <v>#NAME?</v>
      </c>
      <c r="Q14" s="388" t="e">
        <f t="array" aca="1" ref="Q14" ca="1">IF(O14&lt;2,"",VAR(IF($G$3:$G$38=$L14,IF($H$3:$H$38=$M14,$J$3:$J$38,""))))</f>
        <v>#NAME?</v>
      </c>
      <c r="AW14" s="7" t="e">
        <f ca="1">AW4</f>
        <v>#NAME?</v>
      </c>
      <c r="AX14" s="7" t="e">
        <f ca="1">AW6</f>
        <v>#NAME?</v>
      </c>
      <c r="AY14" s="7" t="e">
        <f ca="1">ABS(AX4-AX6)</f>
        <v>#NAME?</v>
      </c>
      <c r="AZ14" s="7" t="e">
        <f t="shared" ca="1" si="10"/>
        <v>#NAME?</v>
      </c>
      <c r="BA14" s="7" t="e">
        <f t="shared" ca="1" si="11"/>
        <v>#NAME?</v>
      </c>
      <c r="BB14" s="7" t="e">
        <f t="shared" ca="1" si="12"/>
        <v>#NAME?</v>
      </c>
      <c r="BC14" s="7" t="e">
        <f ca="1">QDIST(AZ14,COUNT(AY$3:AY$6),BA$7)</f>
        <v>#NAME?</v>
      </c>
      <c r="BD14" s="7" t="e">
        <f t="shared" ca="1" si="13"/>
        <v>#NAME?</v>
      </c>
    </row>
    <row r="15" spans="1:65" x14ac:dyDescent="0.25">
      <c r="G15" s="76" t="e">
        <f ca="1"/>
        <v>#NAME?</v>
      </c>
      <c r="H15" s="7" t="e">
        <f ca="1"/>
        <v>#NAME?</v>
      </c>
      <c r="I15" s="7" t="e">
        <f ca="1"/>
        <v>#NAME?</v>
      </c>
      <c r="J15" s="35" t="e">
        <f ca="1"/>
        <v>#NAME?</v>
      </c>
      <c r="L15" s="76" t="e">
        <f t="shared" ref="L15:L16" ca="1" si="14">$L$4</f>
        <v>#NAME?</v>
      </c>
      <c r="M15" s="7" t="e">
        <f t="shared" ref="M15:M16" ca="1" si="15">$M8</f>
        <v>#NAME?</v>
      </c>
      <c r="N15" s="35"/>
      <c r="O15" s="76">
        <f t="shared" ref="O15:O22" ca="1" si="16">SUMIFS($O$47:$O$82,$L$47:$L$82,L15,$M$47:$M$82,M15)</f>
        <v>1296</v>
      </c>
      <c r="P15" s="7" t="e">
        <f t="shared" ref="P15:P22" ca="1" si="17">IF(O15=0,"",AVERAGEIFS($J$3:$J$38,$G$3:$G$38,$L15,$H$3:$H$38,$M15))</f>
        <v>#NAME?</v>
      </c>
      <c r="Q15" s="35" t="e">
        <f t="array" aca="1" ref="Q15" ca="1">IF(O15&lt;2,"",VAR(IF($G$3:$G$38=$L15,IF($H$3:$H$38=$M15,$J$3:$J$38,""))))</f>
        <v>#NAME?</v>
      </c>
      <c r="AW15" s="353" t="e">
        <f ca="1">AW5</f>
        <v>#NAME?</v>
      </c>
      <c r="AX15" s="353" t="e">
        <f ca="1">AW6</f>
        <v>#NAME?</v>
      </c>
      <c r="AY15" s="353" t="e">
        <f ca="1">ABS(AX5-AX6)</f>
        <v>#NAME?</v>
      </c>
      <c r="AZ15" s="353" t="e">
        <f t="shared" ca="1" si="10"/>
        <v>#NAME?</v>
      </c>
      <c r="BA15" s="353" t="e">
        <f t="shared" ca="1" si="11"/>
        <v>#NAME?</v>
      </c>
      <c r="BB15" s="353" t="e">
        <f t="shared" ca="1" si="12"/>
        <v>#NAME?</v>
      </c>
      <c r="BC15" s="353" t="e">
        <f ca="1">QDIST(AZ15,COUNT(AY$3:AY$6),BA$7)</f>
        <v>#NAME?</v>
      </c>
      <c r="BD15" s="353" t="e">
        <f t="shared" ca="1" si="13"/>
        <v>#NAME?</v>
      </c>
    </row>
    <row r="16" spans="1:65" x14ac:dyDescent="0.25">
      <c r="G16" s="76" t="e">
        <f ca="1"/>
        <v>#NAME?</v>
      </c>
      <c r="H16" s="7" t="e">
        <f ca="1"/>
        <v>#NAME?</v>
      </c>
      <c r="I16" s="7" t="e">
        <f ca="1"/>
        <v>#NAME?</v>
      </c>
      <c r="J16" s="35" t="e">
        <f ca="1"/>
        <v>#NAME?</v>
      </c>
      <c r="L16" s="76" t="e">
        <f t="shared" ca="1" si="14"/>
        <v>#NAME?</v>
      </c>
      <c r="M16" s="7" t="e">
        <f t="shared" ca="1" si="15"/>
        <v>#NAME?</v>
      </c>
      <c r="N16" s="35"/>
      <c r="O16" s="76">
        <f t="shared" ca="1" si="16"/>
        <v>1296</v>
      </c>
      <c r="P16" s="7" t="e">
        <f t="shared" ca="1" si="17"/>
        <v>#NAME?</v>
      </c>
      <c r="Q16" s="35" t="e">
        <f t="array" aca="1" ref="Q16" ca="1">IF(O16&lt;2,"",VAR(IF($G$3:$G$38=$L16,IF($H$3:$H$38=$M16,$J$3:$J$38,""))))</f>
        <v>#NAME?</v>
      </c>
    </row>
    <row r="17" spans="7:17" x14ac:dyDescent="0.25">
      <c r="G17" s="76" t="e">
        <f ca="1"/>
        <v>#NAME?</v>
      </c>
      <c r="H17" s="7" t="e">
        <f ca="1"/>
        <v>#NAME?</v>
      </c>
      <c r="I17" s="7" t="e">
        <f ca="1"/>
        <v>#NAME?</v>
      </c>
      <c r="J17" s="35" t="e">
        <f ca="1"/>
        <v>#NAME?</v>
      </c>
      <c r="L17" s="76" t="e">
        <f ca="1">$L$5</f>
        <v>#NAME?</v>
      </c>
      <c r="M17" s="7" t="e">
        <f ca="1">$M7</f>
        <v>#NAME?</v>
      </c>
      <c r="N17" s="35"/>
      <c r="O17" s="76">
        <f t="shared" ca="1" si="16"/>
        <v>1296</v>
      </c>
      <c r="P17" s="7" t="e">
        <f t="shared" ca="1" si="17"/>
        <v>#NAME?</v>
      </c>
      <c r="Q17" s="35" t="e">
        <f t="array" aca="1" ref="Q17" ca="1">IF(O17&lt;2,"",VAR(IF($G$3:$G$38=$L17,IF($H$3:$H$38=$M17,$J$3:$J$38,""))))</f>
        <v>#NAME?</v>
      </c>
    </row>
    <row r="18" spans="7:17" x14ac:dyDescent="0.25">
      <c r="G18" s="76" t="e">
        <f ca="1"/>
        <v>#NAME?</v>
      </c>
      <c r="H18" s="7" t="e">
        <f ca="1"/>
        <v>#NAME?</v>
      </c>
      <c r="I18" s="7" t="e">
        <f ca="1"/>
        <v>#NAME?</v>
      </c>
      <c r="J18" s="35" t="e">
        <f ca="1"/>
        <v>#NAME?</v>
      </c>
      <c r="L18" s="76" t="e">
        <f t="shared" ref="L18:L19" ca="1" si="18">$L$5</f>
        <v>#NAME?</v>
      </c>
      <c r="M18" s="7" t="e">
        <f t="shared" ref="M18:M19" ca="1" si="19">$M8</f>
        <v>#NAME?</v>
      </c>
      <c r="N18" s="35"/>
      <c r="O18" s="76">
        <f t="shared" ca="1" si="16"/>
        <v>1296</v>
      </c>
      <c r="P18" s="7" t="e">
        <f t="shared" ca="1" si="17"/>
        <v>#NAME?</v>
      </c>
      <c r="Q18" s="35" t="e">
        <f t="array" aca="1" ref="Q18" ca="1">IF(O18&lt;2,"",VAR(IF($G$3:$G$38=$L18,IF($H$3:$H$38=$M18,$J$3:$J$38,""))))</f>
        <v>#NAME?</v>
      </c>
    </row>
    <row r="19" spans="7:17" x14ac:dyDescent="0.25">
      <c r="G19" s="76" t="e">
        <f ca="1"/>
        <v>#NAME?</v>
      </c>
      <c r="H19" s="7" t="e">
        <f ca="1"/>
        <v>#NAME?</v>
      </c>
      <c r="I19" s="7" t="e">
        <f ca="1"/>
        <v>#NAME?</v>
      </c>
      <c r="J19" s="35" t="e">
        <f ca="1"/>
        <v>#NAME?</v>
      </c>
      <c r="L19" s="76" t="e">
        <f t="shared" ca="1" si="18"/>
        <v>#NAME?</v>
      </c>
      <c r="M19" s="7" t="e">
        <f t="shared" ca="1" si="19"/>
        <v>#NAME?</v>
      </c>
      <c r="N19" s="35"/>
      <c r="O19" s="76">
        <f t="shared" ca="1" si="16"/>
        <v>1296</v>
      </c>
      <c r="P19" s="7" t="e">
        <f t="shared" ca="1" si="17"/>
        <v>#NAME?</v>
      </c>
      <c r="Q19" s="35" t="e">
        <f t="array" aca="1" ref="Q19" ca="1">IF(O19&lt;2,"",VAR(IF($G$3:$G$38=$L19,IF($H$3:$H$38=$M19,$J$3:$J$38,""))))</f>
        <v>#NAME?</v>
      </c>
    </row>
    <row r="20" spans="7:17" x14ac:dyDescent="0.25">
      <c r="G20" s="76" t="e">
        <f ca="1"/>
        <v>#NAME?</v>
      </c>
      <c r="H20" s="7" t="e">
        <f ca="1"/>
        <v>#NAME?</v>
      </c>
      <c r="I20" s="7" t="e">
        <f ca="1"/>
        <v>#NAME?</v>
      </c>
      <c r="J20" s="35" t="e">
        <f ca="1"/>
        <v>#NAME?</v>
      </c>
      <c r="L20" s="76" t="e">
        <f ca="1">$L$6</f>
        <v>#NAME?</v>
      </c>
      <c r="M20" s="7" t="e">
        <f ca="1">$M7</f>
        <v>#NAME?</v>
      </c>
      <c r="N20" s="35"/>
      <c r="O20" s="76">
        <f t="shared" ca="1" si="16"/>
        <v>1296</v>
      </c>
      <c r="P20" s="7" t="e">
        <f t="shared" ca="1" si="17"/>
        <v>#NAME?</v>
      </c>
      <c r="Q20" s="35" t="e">
        <f t="array" aca="1" ref="Q20" ca="1">IF(O20&lt;2,"",VAR(IF($G$3:$G$38=$L20,IF($H$3:$H$38=$M20,$J$3:$J$38,""))))</f>
        <v>#NAME?</v>
      </c>
    </row>
    <row r="21" spans="7:17" x14ac:dyDescent="0.25">
      <c r="G21" s="76" t="e">
        <f ca="1"/>
        <v>#NAME?</v>
      </c>
      <c r="H21" s="7" t="e">
        <f ca="1"/>
        <v>#NAME?</v>
      </c>
      <c r="I21" s="7" t="e">
        <f ca="1"/>
        <v>#NAME?</v>
      </c>
      <c r="J21" s="35" t="e">
        <f ca="1"/>
        <v>#NAME?</v>
      </c>
      <c r="L21" s="76" t="e">
        <f t="shared" ref="L21:L22" ca="1" si="20">$L$6</f>
        <v>#NAME?</v>
      </c>
      <c r="M21" s="7" t="e">
        <f t="shared" ref="M21:M22" ca="1" si="21">$M8</f>
        <v>#NAME?</v>
      </c>
      <c r="N21" s="35"/>
      <c r="O21" s="76">
        <f t="shared" ca="1" si="16"/>
        <v>1296</v>
      </c>
      <c r="P21" s="7" t="e">
        <f t="shared" ca="1" si="17"/>
        <v>#NAME?</v>
      </c>
      <c r="Q21" s="35" t="e">
        <f t="array" aca="1" ref="Q21" ca="1">IF(O21&lt;2,"",VAR(IF($G$3:$G$38=$L21,IF($H$3:$H$38=$M21,$J$3:$J$38,""))))</f>
        <v>#NAME?</v>
      </c>
    </row>
    <row r="22" spans="7:17" x14ac:dyDescent="0.25">
      <c r="G22" s="76" t="e">
        <f ca="1"/>
        <v>#NAME?</v>
      </c>
      <c r="H22" s="7" t="e">
        <f ca="1"/>
        <v>#NAME?</v>
      </c>
      <c r="I22" s="7" t="e">
        <f ca="1"/>
        <v>#NAME?</v>
      </c>
      <c r="J22" s="35" t="e">
        <f ca="1"/>
        <v>#NAME?</v>
      </c>
      <c r="L22" s="348" t="e">
        <f t="shared" ca="1" si="20"/>
        <v>#NAME?</v>
      </c>
      <c r="M22" s="349" t="e">
        <f t="shared" ca="1" si="21"/>
        <v>#NAME?</v>
      </c>
      <c r="N22" s="350"/>
      <c r="O22" s="348">
        <f t="shared" ca="1" si="16"/>
        <v>1296</v>
      </c>
      <c r="P22" s="349" t="e">
        <f t="shared" ca="1" si="17"/>
        <v>#NAME?</v>
      </c>
      <c r="Q22" s="350" t="e">
        <f t="array" aca="1" ref="Q22" ca="1">IF(O22&lt;2,"",VAR(IF($G$3:$G$38=$L22,IF($H$3:$H$38=$M22,$J$3:$J$38,""))))</f>
        <v>#NAME?</v>
      </c>
    </row>
    <row r="23" spans="7:17" x14ac:dyDescent="0.25">
      <c r="G23" s="76" t="e">
        <f ca="1"/>
        <v>#NAME?</v>
      </c>
      <c r="H23" s="7" t="e">
        <f ca="1"/>
        <v>#NAME?</v>
      </c>
      <c r="I23" s="7" t="e">
        <f ca="1"/>
        <v>#NAME?</v>
      </c>
      <c r="J23" s="35" t="e">
        <f ca="1"/>
        <v>#NAME?</v>
      </c>
      <c r="L23" s="386" t="e">
        <f ca="1">$L$4</f>
        <v>#NAME?</v>
      </c>
      <c r="M23" s="387"/>
      <c r="N23" s="388" t="e">
        <f ca="1">$N10</f>
        <v>#NAME?</v>
      </c>
      <c r="O23" s="386">
        <f ca="1">SUMIFS($O$47:$O$82,$L$47:$L$82,L23,$N$47:$N$82,N23)</f>
        <v>1296</v>
      </c>
      <c r="P23" s="387" t="e">
        <f ca="1">IF(O23=0,"",AVERAGEIFS($J$3:$J$38,$G$3:$G$38,$L23,$I$3:$I$38,$N23))</f>
        <v>#NAME?</v>
      </c>
      <c r="Q23" s="388" t="e">
        <f t="array" aca="1" ref="Q23" ca="1">IF(O23&lt;2,"",VAR(IF($G$3:$G$38=$L23,IF($I$3:$I$38=$N23,$J$3:$J$38,""))))</f>
        <v>#NAME?</v>
      </c>
    </row>
    <row r="24" spans="7:17" x14ac:dyDescent="0.25">
      <c r="G24" s="76" t="e">
        <f ca="1"/>
        <v>#NAME?</v>
      </c>
      <c r="H24" s="7" t="e">
        <f ca="1"/>
        <v>#NAME?</v>
      </c>
      <c r="I24" s="7" t="e">
        <f ca="1"/>
        <v>#NAME?</v>
      </c>
      <c r="J24" s="35" t="e">
        <f ca="1"/>
        <v>#NAME?</v>
      </c>
      <c r="L24" s="76" t="e">
        <f t="shared" ref="L24:L26" ca="1" si="22">$L$4</f>
        <v>#NAME?</v>
      </c>
      <c r="M24" s="7"/>
      <c r="N24" s="35" t="e">
        <f t="shared" ref="N24:N26" ca="1" si="23">$N11</f>
        <v>#NAME?</v>
      </c>
      <c r="O24" s="76">
        <f t="shared" ref="O24:O34" ca="1" si="24">SUMIFS($O$47:$O$82,$L$47:$L$82,L24,$N$47:$N$82,N24)</f>
        <v>1296</v>
      </c>
      <c r="P24" s="7" t="e">
        <f t="shared" ref="P24:P34" ca="1" si="25">IF(O24=0,"",AVERAGEIFS($J$3:$J$38,$G$3:$G$38,$L24,$I$3:$I$38,$N24))</f>
        <v>#NAME?</v>
      </c>
      <c r="Q24" s="35" t="e">
        <f t="array" aca="1" ref="Q24" ca="1">IF(O24&lt;2,"",VAR(IF($G$3:$G$38=$L24,IF($I$3:$I$38=$N24,$J$3:$J$38,""))))</f>
        <v>#NAME?</v>
      </c>
    </row>
    <row r="25" spans="7:17" x14ac:dyDescent="0.25">
      <c r="G25" s="76" t="e">
        <f ca="1"/>
        <v>#NAME?</v>
      </c>
      <c r="H25" s="7" t="e">
        <f ca="1"/>
        <v>#NAME?</v>
      </c>
      <c r="I25" s="7" t="e">
        <f ca="1"/>
        <v>#NAME?</v>
      </c>
      <c r="J25" s="35" t="e">
        <f ca="1"/>
        <v>#NAME?</v>
      </c>
      <c r="L25" s="76" t="e">
        <f t="shared" ca="1" si="22"/>
        <v>#NAME?</v>
      </c>
      <c r="M25" s="7"/>
      <c r="N25" s="35" t="e">
        <f t="shared" ca="1" si="23"/>
        <v>#NAME?</v>
      </c>
      <c r="O25" s="76">
        <f t="shared" ca="1" si="24"/>
        <v>1296</v>
      </c>
      <c r="P25" s="7" t="e">
        <f t="shared" ca="1" si="25"/>
        <v>#NAME?</v>
      </c>
      <c r="Q25" s="35" t="e">
        <f t="array" aca="1" ref="Q25" ca="1">IF(O25&lt;2,"",VAR(IF($G$3:$G$38=$L25,IF($I$3:$I$38=$N25,$J$3:$J$38,""))))</f>
        <v>#NAME?</v>
      </c>
    </row>
    <row r="26" spans="7:17" x14ac:dyDescent="0.25">
      <c r="G26" s="76" t="e">
        <f ca="1"/>
        <v>#NAME?</v>
      </c>
      <c r="H26" s="7" t="e">
        <f ca="1"/>
        <v>#NAME?</v>
      </c>
      <c r="I26" s="7" t="e">
        <f ca="1"/>
        <v>#NAME?</v>
      </c>
      <c r="J26" s="35" t="e">
        <f ca="1"/>
        <v>#NAME?</v>
      </c>
      <c r="L26" s="76" t="e">
        <f t="shared" ca="1" si="22"/>
        <v>#NAME?</v>
      </c>
      <c r="M26" s="7"/>
      <c r="N26" s="35" t="e">
        <f t="shared" ca="1" si="23"/>
        <v>#NAME?</v>
      </c>
      <c r="O26" s="76">
        <f t="shared" ca="1" si="24"/>
        <v>1296</v>
      </c>
      <c r="P26" s="7" t="e">
        <f t="shared" ca="1" si="25"/>
        <v>#NAME?</v>
      </c>
      <c r="Q26" s="35" t="e">
        <f t="array" aca="1" ref="Q26" ca="1">IF(O26&lt;2,"",VAR(IF($G$3:$G$38=$L26,IF($I$3:$I$38=$N26,$J$3:$J$38,""))))</f>
        <v>#NAME?</v>
      </c>
    </row>
    <row r="27" spans="7:17" x14ac:dyDescent="0.25">
      <c r="G27" s="76" t="e">
        <f ca="1"/>
        <v>#NAME?</v>
      </c>
      <c r="H27" s="7" t="e">
        <f ca="1"/>
        <v>#NAME?</v>
      </c>
      <c r="I27" s="7" t="e">
        <f ca="1"/>
        <v>#NAME?</v>
      </c>
      <c r="J27" s="35" t="e">
        <f ca="1"/>
        <v>#NAME?</v>
      </c>
      <c r="L27" s="76" t="e">
        <f ca="1">$L$5</f>
        <v>#NAME?</v>
      </c>
      <c r="M27" s="7"/>
      <c r="N27" s="35" t="e">
        <f ca="1">$N10</f>
        <v>#NAME?</v>
      </c>
      <c r="O27" s="76">
        <f t="shared" ca="1" si="24"/>
        <v>1296</v>
      </c>
      <c r="P27" s="7" t="e">
        <f t="shared" ca="1" si="25"/>
        <v>#NAME?</v>
      </c>
      <c r="Q27" s="35" t="e">
        <f t="array" aca="1" ref="Q27" ca="1">IF(O27&lt;2,"",VAR(IF($G$3:$G$38=$L27,IF($I$3:$I$38=$N27,$J$3:$J$38,""))))</f>
        <v>#NAME?</v>
      </c>
    </row>
    <row r="28" spans="7:17" x14ac:dyDescent="0.25">
      <c r="G28" s="76" t="e">
        <f ca="1"/>
        <v>#NAME?</v>
      </c>
      <c r="H28" s="7" t="e">
        <f ca="1"/>
        <v>#NAME?</v>
      </c>
      <c r="I28" s="7" t="e">
        <f ca="1"/>
        <v>#NAME?</v>
      </c>
      <c r="J28" s="35" t="e">
        <f ca="1"/>
        <v>#NAME?</v>
      </c>
      <c r="L28" s="76" t="e">
        <f t="shared" ref="L28:L30" ca="1" si="26">$L$5</f>
        <v>#NAME?</v>
      </c>
      <c r="M28" s="7"/>
      <c r="N28" s="35" t="e">
        <f t="shared" ref="N28:N30" ca="1" si="27">$N11</f>
        <v>#NAME?</v>
      </c>
      <c r="O28" s="76">
        <f t="shared" ca="1" si="24"/>
        <v>1296</v>
      </c>
      <c r="P28" s="7" t="e">
        <f t="shared" ca="1" si="25"/>
        <v>#NAME?</v>
      </c>
      <c r="Q28" s="35" t="e">
        <f t="array" aca="1" ref="Q28" ca="1">IF(O28&lt;2,"",VAR(IF($G$3:$G$38=$L28,IF($I$3:$I$38=$N28,$J$3:$J$38,""))))</f>
        <v>#NAME?</v>
      </c>
    </row>
    <row r="29" spans="7:17" x14ac:dyDescent="0.25">
      <c r="G29" s="76" t="e">
        <f ca="1"/>
        <v>#NAME?</v>
      </c>
      <c r="H29" s="7" t="e">
        <f ca="1"/>
        <v>#NAME?</v>
      </c>
      <c r="I29" s="7" t="e">
        <f ca="1"/>
        <v>#NAME?</v>
      </c>
      <c r="J29" s="35" t="e">
        <f ca="1"/>
        <v>#NAME?</v>
      </c>
      <c r="L29" s="76" t="e">
        <f t="shared" ca="1" si="26"/>
        <v>#NAME?</v>
      </c>
      <c r="M29" s="7"/>
      <c r="N29" s="35" t="e">
        <f t="shared" ca="1" si="27"/>
        <v>#NAME?</v>
      </c>
      <c r="O29" s="76">
        <f t="shared" ca="1" si="24"/>
        <v>1296</v>
      </c>
      <c r="P29" s="7" t="e">
        <f t="shared" ca="1" si="25"/>
        <v>#NAME?</v>
      </c>
      <c r="Q29" s="35" t="e">
        <f t="array" aca="1" ref="Q29" ca="1">IF(O29&lt;2,"",VAR(IF($G$3:$G$38=$L29,IF($I$3:$I$38=$N29,$J$3:$J$38,""))))</f>
        <v>#NAME?</v>
      </c>
    </row>
    <row r="30" spans="7:17" x14ac:dyDescent="0.25">
      <c r="G30" s="76" t="e">
        <f ca="1"/>
        <v>#NAME?</v>
      </c>
      <c r="H30" s="7" t="e">
        <f ca="1"/>
        <v>#NAME?</v>
      </c>
      <c r="I30" s="7" t="e">
        <f ca="1"/>
        <v>#NAME?</v>
      </c>
      <c r="J30" s="35" t="e">
        <f ca="1"/>
        <v>#NAME?</v>
      </c>
      <c r="L30" s="76" t="e">
        <f t="shared" ca="1" si="26"/>
        <v>#NAME?</v>
      </c>
      <c r="M30" s="7"/>
      <c r="N30" s="35" t="e">
        <f t="shared" ca="1" si="27"/>
        <v>#NAME?</v>
      </c>
      <c r="O30" s="76">
        <f t="shared" ca="1" si="24"/>
        <v>1296</v>
      </c>
      <c r="P30" s="7" t="e">
        <f t="shared" ca="1" si="25"/>
        <v>#NAME?</v>
      </c>
      <c r="Q30" s="35" t="e">
        <f t="array" aca="1" ref="Q30" ca="1">IF(O30&lt;2,"",VAR(IF($G$3:$G$38=$L30,IF($I$3:$I$38=$N30,$J$3:$J$38,""))))</f>
        <v>#NAME?</v>
      </c>
    </row>
    <row r="31" spans="7:17" x14ac:dyDescent="0.25">
      <c r="G31" s="76" t="e">
        <f ca="1"/>
        <v>#NAME?</v>
      </c>
      <c r="H31" s="7" t="e">
        <f ca="1"/>
        <v>#NAME?</v>
      </c>
      <c r="I31" s="7" t="e">
        <f ca="1"/>
        <v>#NAME?</v>
      </c>
      <c r="J31" s="35" t="e">
        <f ca="1"/>
        <v>#NAME?</v>
      </c>
      <c r="L31" s="76" t="e">
        <f ca="1">$L$6</f>
        <v>#NAME?</v>
      </c>
      <c r="M31" s="7"/>
      <c r="N31" s="35" t="e">
        <f ca="1">$N10</f>
        <v>#NAME?</v>
      </c>
      <c r="O31" s="76">
        <f t="shared" ca="1" si="24"/>
        <v>1296</v>
      </c>
      <c r="P31" s="7" t="e">
        <f t="shared" ca="1" si="25"/>
        <v>#NAME?</v>
      </c>
      <c r="Q31" s="35" t="e">
        <f t="array" aca="1" ref="Q31" ca="1">IF(O31&lt;2,"",VAR(IF($G$3:$G$38=$L31,IF($I$3:$I$38=$N31,$J$3:$J$38,""))))</f>
        <v>#NAME?</v>
      </c>
    </row>
    <row r="32" spans="7:17" x14ac:dyDescent="0.25">
      <c r="G32" s="76" t="e">
        <f ca="1"/>
        <v>#NAME?</v>
      </c>
      <c r="H32" s="7" t="e">
        <f ca="1"/>
        <v>#NAME?</v>
      </c>
      <c r="I32" s="7" t="e">
        <f ca="1"/>
        <v>#NAME?</v>
      </c>
      <c r="J32" s="35" t="e">
        <f ca="1"/>
        <v>#NAME?</v>
      </c>
      <c r="L32" s="76" t="e">
        <f t="shared" ref="L32:L34" ca="1" si="28">$L$6</f>
        <v>#NAME?</v>
      </c>
      <c r="M32" s="7"/>
      <c r="N32" s="35" t="e">
        <f t="shared" ref="N32:N34" ca="1" si="29">$N11</f>
        <v>#NAME?</v>
      </c>
      <c r="O32" s="76">
        <f t="shared" ca="1" si="24"/>
        <v>1296</v>
      </c>
      <c r="P32" s="7" t="e">
        <f t="shared" ca="1" si="25"/>
        <v>#NAME?</v>
      </c>
      <c r="Q32" s="35" t="e">
        <f t="array" aca="1" ref="Q32" ca="1">IF(O32&lt;2,"",VAR(IF($G$3:$G$38=$L32,IF($I$3:$I$38=$N32,$J$3:$J$38,""))))</f>
        <v>#NAME?</v>
      </c>
    </row>
    <row r="33" spans="7:17" x14ac:dyDescent="0.25">
      <c r="G33" s="76" t="e">
        <f ca="1"/>
        <v>#NAME?</v>
      </c>
      <c r="H33" s="7" t="e">
        <f ca="1"/>
        <v>#NAME?</v>
      </c>
      <c r="I33" s="7" t="e">
        <f ca="1"/>
        <v>#NAME?</v>
      </c>
      <c r="J33" s="35" t="e">
        <f ca="1"/>
        <v>#NAME?</v>
      </c>
      <c r="L33" s="76" t="e">
        <f t="shared" ca="1" si="28"/>
        <v>#NAME?</v>
      </c>
      <c r="M33" s="7"/>
      <c r="N33" s="35" t="e">
        <f t="shared" ca="1" si="29"/>
        <v>#NAME?</v>
      </c>
      <c r="O33" s="76">
        <f t="shared" ca="1" si="24"/>
        <v>1296</v>
      </c>
      <c r="P33" s="7" t="e">
        <f t="shared" ca="1" si="25"/>
        <v>#NAME?</v>
      </c>
      <c r="Q33" s="35" t="e">
        <f t="array" aca="1" ref="Q33" ca="1">IF(O33&lt;2,"",VAR(IF($G$3:$G$38=$L33,IF($I$3:$I$38=$N33,$J$3:$J$38,""))))</f>
        <v>#NAME?</v>
      </c>
    </row>
    <row r="34" spans="7:17" x14ac:dyDescent="0.25">
      <c r="G34" s="76" t="e">
        <f ca="1"/>
        <v>#NAME?</v>
      </c>
      <c r="H34" s="7" t="e">
        <f ca="1"/>
        <v>#NAME?</v>
      </c>
      <c r="I34" s="7" t="e">
        <f ca="1"/>
        <v>#NAME?</v>
      </c>
      <c r="J34" s="35" t="e">
        <f ca="1"/>
        <v>#NAME?</v>
      </c>
      <c r="L34" s="348" t="e">
        <f t="shared" ca="1" si="28"/>
        <v>#NAME?</v>
      </c>
      <c r="M34" s="349"/>
      <c r="N34" s="350" t="e">
        <f t="shared" ca="1" si="29"/>
        <v>#NAME?</v>
      </c>
      <c r="O34" s="348">
        <f t="shared" ca="1" si="24"/>
        <v>1296</v>
      </c>
      <c r="P34" s="349" t="e">
        <f t="shared" ca="1" si="25"/>
        <v>#NAME?</v>
      </c>
      <c r="Q34" s="350" t="e">
        <f t="array" aca="1" ref="Q34" ca="1">IF(O34&lt;2,"",VAR(IF($G$3:$G$38=$L34,IF($I$3:$I$38=$N34,$J$3:$J$38,""))))</f>
        <v>#NAME?</v>
      </c>
    </row>
    <row r="35" spans="7:17" x14ac:dyDescent="0.25">
      <c r="G35" s="76" t="e">
        <f ca="1"/>
        <v>#NAME?</v>
      </c>
      <c r="H35" s="7" t="e">
        <f ca="1"/>
        <v>#NAME?</v>
      </c>
      <c r="I35" s="7" t="e">
        <f ca="1"/>
        <v>#NAME?</v>
      </c>
      <c r="J35" s="35" t="e">
        <f ca="1"/>
        <v>#NAME?</v>
      </c>
      <c r="L35" s="386"/>
      <c r="M35" s="387" t="e">
        <f ca="1">$M$7</f>
        <v>#NAME?</v>
      </c>
      <c r="N35" s="388" t="e">
        <f ca="1">$N10</f>
        <v>#NAME?</v>
      </c>
      <c r="O35" s="386">
        <f ca="1">SUMIFS($O$47:$O$82,$M$47:$M$82,M35,$N$47:$N$82,N35)</f>
        <v>1296</v>
      </c>
      <c r="P35" s="387" t="e">
        <f ca="1">IF(O35=0,"",AVERAGEIFS($J$3:$J$38,$H$3:$H$38,$M35,$I$3:$I$38,$N35))</f>
        <v>#NAME?</v>
      </c>
      <c r="Q35" s="388" t="e">
        <f t="array" aca="1" ref="Q35" ca="1">IF(O35&lt;2,"",VAR(IF($H$3:$H$38=$M35,IF($I$3:$I$38=$N35,$J$3:$J$38,""))))</f>
        <v>#NAME?</v>
      </c>
    </row>
    <row r="36" spans="7:17" x14ac:dyDescent="0.25">
      <c r="G36" s="76" t="e">
        <f ca="1"/>
        <v>#NAME?</v>
      </c>
      <c r="H36" s="7" t="e">
        <f ca="1"/>
        <v>#NAME?</v>
      </c>
      <c r="I36" s="7" t="e">
        <f ca="1"/>
        <v>#NAME?</v>
      </c>
      <c r="J36" s="35" t="e">
        <f ca="1"/>
        <v>#NAME?</v>
      </c>
      <c r="L36" s="76"/>
      <c r="M36" s="7" t="e">
        <f t="shared" ref="M36:M38" ca="1" si="30">$M$7</f>
        <v>#NAME?</v>
      </c>
      <c r="N36" s="35" t="e">
        <f t="shared" ref="N36:N38" ca="1" si="31">$N11</f>
        <v>#NAME?</v>
      </c>
      <c r="O36" s="76">
        <f t="shared" ref="O36:O46" ca="1" si="32">SUMIFS($O$47:$O$82,$M$47:$M$82,M36,$N$47:$N$82,N36)</f>
        <v>1296</v>
      </c>
      <c r="P36" s="7" t="e">
        <f t="shared" ref="P36:P46" ca="1" si="33">IF(O36=0,"",AVERAGEIFS($J$3:$J$38,$H$3:$H$38,$M36,$I$3:$I$38,$N36))</f>
        <v>#NAME?</v>
      </c>
      <c r="Q36" s="35" t="e">
        <f t="array" aca="1" ref="Q36" ca="1">IF(O36&lt;2,"",VAR(IF($H$3:$H$38=$M36,IF($I$3:$I$38=$N36,$J$3:$J$38,""))))</f>
        <v>#NAME?</v>
      </c>
    </row>
    <row r="37" spans="7:17" x14ac:dyDescent="0.25">
      <c r="G37" s="76" t="e">
        <f ca="1"/>
        <v>#NAME?</v>
      </c>
      <c r="H37" s="7" t="e">
        <f ca="1"/>
        <v>#NAME?</v>
      </c>
      <c r="I37" s="7" t="e">
        <f ca="1"/>
        <v>#NAME?</v>
      </c>
      <c r="J37" s="35" t="e">
        <f ca="1"/>
        <v>#NAME?</v>
      </c>
      <c r="L37" s="76"/>
      <c r="M37" s="7" t="e">
        <f t="shared" ca="1" si="30"/>
        <v>#NAME?</v>
      </c>
      <c r="N37" s="35" t="e">
        <f t="shared" ca="1" si="31"/>
        <v>#NAME?</v>
      </c>
      <c r="O37" s="76">
        <f t="shared" ca="1" si="32"/>
        <v>1296</v>
      </c>
      <c r="P37" s="7" t="e">
        <f t="shared" ca="1" si="33"/>
        <v>#NAME?</v>
      </c>
      <c r="Q37" s="35" t="e">
        <f t="array" aca="1" ref="Q37" ca="1">IF(O37&lt;2,"",VAR(IF($H$3:$H$38=$M37,IF($I$3:$I$38=$N37,$J$3:$J$38,""))))</f>
        <v>#NAME?</v>
      </c>
    </row>
    <row r="38" spans="7:17" x14ac:dyDescent="0.25">
      <c r="G38" s="348" t="e">
        <f ca="1"/>
        <v>#NAME?</v>
      </c>
      <c r="H38" s="349" t="e">
        <f ca="1"/>
        <v>#NAME?</v>
      </c>
      <c r="I38" s="349" t="e">
        <f ca="1"/>
        <v>#NAME?</v>
      </c>
      <c r="J38" s="350" t="e">
        <f ca="1"/>
        <v>#NAME?</v>
      </c>
      <c r="L38" s="76"/>
      <c r="M38" s="7" t="e">
        <f t="shared" ca="1" si="30"/>
        <v>#NAME?</v>
      </c>
      <c r="N38" s="35" t="e">
        <f t="shared" ca="1" si="31"/>
        <v>#NAME?</v>
      </c>
      <c r="O38" s="76">
        <f t="shared" ca="1" si="32"/>
        <v>1296</v>
      </c>
      <c r="P38" s="7" t="e">
        <f t="shared" ca="1" si="33"/>
        <v>#NAME?</v>
      </c>
      <c r="Q38" s="35" t="e">
        <f t="array" aca="1" ref="Q38" ca="1">IF(O38&lt;2,"",VAR(IF($H$3:$H$38=$M38,IF($I$3:$I$38=$N38,$J$3:$J$38,""))))</f>
        <v>#NAME?</v>
      </c>
    </row>
    <row r="39" spans="7:17" x14ac:dyDescent="0.25">
      <c r="L39" s="76"/>
      <c r="M39" s="7" t="e">
        <f ca="1">$M$8</f>
        <v>#NAME?</v>
      </c>
      <c r="N39" s="35" t="e">
        <f ca="1">$N10</f>
        <v>#NAME?</v>
      </c>
      <c r="O39" s="76">
        <f t="shared" ca="1" si="32"/>
        <v>1296</v>
      </c>
      <c r="P39" s="7" t="e">
        <f t="shared" ca="1" si="33"/>
        <v>#NAME?</v>
      </c>
      <c r="Q39" s="35" t="e">
        <f t="array" aca="1" ref="Q39" ca="1">IF(O39&lt;2,"",VAR(IF($H$3:$H$38=$M39,IF($I$3:$I$38=$N39,$J$3:$J$38,""))))</f>
        <v>#NAME?</v>
      </c>
    </row>
    <row r="40" spans="7:17" x14ac:dyDescent="0.25">
      <c r="L40" s="76"/>
      <c r="M40" s="7" t="e">
        <f t="shared" ref="M40:M42" ca="1" si="34">$M$8</f>
        <v>#NAME?</v>
      </c>
      <c r="N40" s="35" t="e">
        <f t="shared" ref="N40:N42" ca="1" si="35">$N11</f>
        <v>#NAME?</v>
      </c>
      <c r="O40" s="76">
        <f t="shared" ca="1" si="32"/>
        <v>1296</v>
      </c>
      <c r="P40" s="7" t="e">
        <f t="shared" ca="1" si="33"/>
        <v>#NAME?</v>
      </c>
      <c r="Q40" s="35" t="e">
        <f t="array" aca="1" ref="Q40" ca="1">IF(O40&lt;2,"",VAR(IF($H$3:$H$38=$M40,IF($I$3:$I$38=$N40,$J$3:$J$38,""))))</f>
        <v>#NAME?</v>
      </c>
    </row>
    <row r="41" spans="7:17" x14ac:dyDescent="0.25">
      <c r="L41" s="76"/>
      <c r="M41" s="7" t="e">
        <f t="shared" ca="1" si="34"/>
        <v>#NAME?</v>
      </c>
      <c r="N41" s="35" t="e">
        <f t="shared" ca="1" si="35"/>
        <v>#NAME?</v>
      </c>
      <c r="O41" s="76">
        <f t="shared" ca="1" si="32"/>
        <v>1296</v>
      </c>
      <c r="P41" s="7" t="e">
        <f t="shared" ca="1" si="33"/>
        <v>#NAME?</v>
      </c>
      <c r="Q41" s="35" t="e">
        <f t="array" aca="1" ref="Q41" ca="1">IF(O41&lt;2,"",VAR(IF($H$3:$H$38=$M41,IF($I$3:$I$38=$N41,$J$3:$J$38,""))))</f>
        <v>#NAME?</v>
      </c>
    </row>
    <row r="42" spans="7:17" x14ac:dyDescent="0.25">
      <c r="L42" s="76"/>
      <c r="M42" s="7" t="e">
        <f t="shared" ca="1" si="34"/>
        <v>#NAME?</v>
      </c>
      <c r="N42" s="35" t="e">
        <f t="shared" ca="1" si="35"/>
        <v>#NAME?</v>
      </c>
      <c r="O42" s="76">
        <f t="shared" ca="1" si="32"/>
        <v>1296</v>
      </c>
      <c r="P42" s="7" t="e">
        <f t="shared" ca="1" si="33"/>
        <v>#NAME?</v>
      </c>
      <c r="Q42" s="35" t="e">
        <f t="array" aca="1" ref="Q42" ca="1">IF(O42&lt;2,"",VAR(IF($H$3:$H$38=$M42,IF($I$3:$I$38=$N42,$J$3:$J$38,""))))</f>
        <v>#NAME?</v>
      </c>
    </row>
    <row r="43" spans="7:17" x14ac:dyDescent="0.25">
      <c r="L43" s="76"/>
      <c r="M43" s="7" t="e">
        <f ca="1">$M$9</f>
        <v>#NAME?</v>
      </c>
      <c r="N43" s="35" t="e">
        <f ca="1">$N10</f>
        <v>#NAME?</v>
      </c>
      <c r="O43" s="76">
        <f t="shared" ca="1" si="32"/>
        <v>1296</v>
      </c>
      <c r="P43" s="7" t="e">
        <f t="shared" ca="1" si="33"/>
        <v>#NAME?</v>
      </c>
      <c r="Q43" s="35" t="e">
        <f t="array" aca="1" ref="Q43" ca="1">IF(O43&lt;2,"",VAR(IF($H$3:$H$38=$M43,IF($I$3:$I$38=$N43,$J$3:$J$38,""))))</f>
        <v>#NAME?</v>
      </c>
    </row>
    <row r="44" spans="7:17" x14ac:dyDescent="0.25">
      <c r="L44" s="76"/>
      <c r="M44" s="7" t="e">
        <f t="shared" ref="M44:M46" ca="1" si="36">$M$9</f>
        <v>#NAME?</v>
      </c>
      <c r="N44" s="35" t="e">
        <f t="shared" ref="N44:N46" ca="1" si="37">$N11</f>
        <v>#NAME?</v>
      </c>
      <c r="O44" s="76">
        <f t="shared" ca="1" si="32"/>
        <v>1296</v>
      </c>
      <c r="P44" s="7" t="e">
        <f t="shared" ca="1" si="33"/>
        <v>#NAME?</v>
      </c>
      <c r="Q44" s="35" t="e">
        <f t="array" aca="1" ref="Q44" ca="1">IF(O44&lt;2,"",VAR(IF($H$3:$H$38=$M44,IF($I$3:$I$38=$N44,$J$3:$J$38,""))))</f>
        <v>#NAME?</v>
      </c>
    </row>
    <row r="45" spans="7:17" x14ac:dyDescent="0.25">
      <c r="L45" s="76"/>
      <c r="M45" s="7" t="e">
        <f t="shared" ca="1" si="36"/>
        <v>#NAME?</v>
      </c>
      <c r="N45" s="35" t="e">
        <f t="shared" ca="1" si="37"/>
        <v>#NAME?</v>
      </c>
      <c r="O45" s="76">
        <f t="shared" ca="1" si="32"/>
        <v>1296</v>
      </c>
      <c r="P45" s="7" t="e">
        <f t="shared" ca="1" si="33"/>
        <v>#NAME?</v>
      </c>
      <c r="Q45" s="35" t="e">
        <f t="array" aca="1" ref="Q45" ca="1">IF(O45&lt;2,"",VAR(IF($H$3:$H$38=$M45,IF($I$3:$I$38=$N45,$J$3:$J$38,""))))</f>
        <v>#NAME?</v>
      </c>
    </row>
    <row r="46" spans="7:17" x14ac:dyDescent="0.25">
      <c r="L46" s="348"/>
      <c r="M46" s="349" t="e">
        <f t="shared" ca="1" si="36"/>
        <v>#NAME?</v>
      </c>
      <c r="N46" s="350" t="e">
        <f t="shared" ca="1" si="37"/>
        <v>#NAME?</v>
      </c>
      <c r="O46" s="348">
        <f t="shared" ca="1" si="32"/>
        <v>1296</v>
      </c>
      <c r="P46" s="349" t="e">
        <f t="shared" ca="1" si="33"/>
        <v>#NAME?</v>
      </c>
      <c r="Q46" s="350" t="e">
        <f t="array" aca="1" ref="Q46" ca="1">IF(O46&lt;2,"",VAR(IF($H$3:$H$38=$M46,IF($I$3:$I$38=$N46,$J$3:$J$38,""))))</f>
        <v>#NAME?</v>
      </c>
    </row>
    <row r="47" spans="7:17" x14ac:dyDescent="0.25">
      <c r="L47" s="386" t="e">
        <f ca="1">$L$4</f>
        <v>#NAME?</v>
      </c>
      <c r="M47" s="387" t="e">
        <f ca="1">M35</f>
        <v>#NAME?</v>
      </c>
      <c r="N47" s="388" t="e">
        <f ca="1">N35</f>
        <v>#NAME?</v>
      </c>
      <c r="O47" s="386">
        <f ca="1">COUNTIFS($G$3:$G$38,$L47,$H$3:$H$38,$M47,$I$3:$I$38,$N47)</f>
        <v>36</v>
      </c>
      <c r="P47" s="387" t="e">
        <f ca="1">IF(O47=0,"",AVERAGEIFS($J$3:$J$38,$G$3:$G$38,$L47,$H$3:$H$38,$M47,$I$3:$I$38,$N47))</f>
        <v>#NAME?</v>
      </c>
      <c r="Q47" s="388" t="e">
        <f t="array" aca="1" ref="Q47" ca="1">IF(O47&lt;2,"",VAR(IF($G$3:$G$38=$L47,IF($H$3:$H$38=$M47,IF($I$3:$I$38=$N47,$J$3:$J$38,"")))))</f>
        <v>#NAME?</v>
      </c>
    </row>
    <row r="48" spans="7:17" x14ac:dyDescent="0.25">
      <c r="L48" s="76" t="e">
        <f t="shared" ref="L48:L58" ca="1" si="38">$L$4</f>
        <v>#NAME?</v>
      </c>
      <c r="M48" s="7" t="e">
        <f t="shared" ref="M48:N63" ca="1" si="39">M36</f>
        <v>#NAME?</v>
      </c>
      <c r="N48" s="35" t="e">
        <f t="shared" ca="1" si="39"/>
        <v>#NAME?</v>
      </c>
      <c r="O48" s="76">
        <f t="shared" ref="O48:O82" ca="1" si="40">COUNTIFS($G$3:$G$38,$L48,$H$3:$H$38,$M48,$I$3:$I$38,$N48)</f>
        <v>36</v>
      </c>
      <c r="P48" s="7" t="e">
        <f t="shared" ref="P48:P82" ca="1" si="41">IF(O48=0,"",AVERAGEIFS($J$3:$J$38,$G$3:$G$38,$L48,$H$3:$H$38,$M48,$I$3:$I$38,$N48))</f>
        <v>#NAME?</v>
      </c>
      <c r="Q48" s="35" t="e">
        <f t="array" aca="1" ref="Q48" ca="1">IF(O48&lt;2,"",VAR(IF($G$3:$G$38=$L48,IF($H$3:$H$38=$M48,IF($I$3:$I$38=$N48,$J$3:$J$38,"")))))</f>
        <v>#NAME?</v>
      </c>
    </row>
    <row r="49" spans="12:17" x14ac:dyDescent="0.25">
      <c r="L49" s="76" t="e">
        <f t="shared" ca="1" si="38"/>
        <v>#NAME?</v>
      </c>
      <c r="M49" s="7" t="e">
        <f t="shared" ca="1" si="39"/>
        <v>#NAME?</v>
      </c>
      <c r="N49" s="35" t="e">
        <f t="shared" ca="1" si="39"/>
        <v>#NAME?</v>
      </c>
      <c r="O49" s="76">
        <f t="shared" ca="1" si="40"/>
        <v>36</v>
      </c>
      <c r="P49" s="7" t="e">
        <f t="shared" ca="1" si="41"/>
        <v>#NAME?</v>
      </c>
      <c r="Q49" s="35" t="e">
        <f t="array" aca="1" ref="Q49" ca="1">IF(O49&lt;2,"",VAR(IF($G$3:$G$38=$L49,IF($H$3:$H$38=$M49,IF($I$3:$I$38=$N49,$J$3:$J$38,"")))))</f>
        <v>#NAME?</v>
      </c>
    </row>
    <row r="50" spans="12:17" x14ac:dyDescent="0.25">
      <c r="L50" s="76" t="e">
        <f t="shared" ca="1" si="38"/>
        <v>#NAME?</v>
      </c>
      <c r="M50" s="7" t="e">
        <f t="shared" ca="1" si="39"/>
        <v>#NAME?</v>
      </c>
      <c r="N50" s="35" t="e">
        <f t="shared" ca="1" si="39"/>
        <v>#NAME?</v>
      </c>
      <c r="O50" s="76">
        <f t="shared" ca="1" si="40"/>
        <v>36</v>
      </c>
      <c r="P50" s="7" t="e">
        <f t="shared" ca="1" si="41"/>
        <v>#NAME?</v>
      </c>
      <c r="Q50" s="35" t="e">
        <f t="array" aca="1" ref="Q50" ca="1">IF(O50&lt;2,"",VAR(IF($G$3:$G$38=$L50,IF($H$3:$H$38=$M50,IF($I$3:$I$38=$N50,$J$3:$J$38,"")))))</f>
        <v>#NAME?</v>
      </c>
    </row>
    <row r="51" spans="12:17" x14ac:dyDescent="0.25">
      <c r="L51" s="76" t="e">
        <f t="shared" ca="1" si="38"/>
        <v>#NAME?</v>
      </c>
      <c r="M51" s="7" t="e">
        <f t="shared" ca="1" si="39"/>
        <v>#NAME?</v>
      </c>
      <c r="N51" s="35" t="e">
        <f t="shared" ca="1" si="39"/>
        <v>#NAME?</v>
      </c>
      <c r="O51" s="76">
        <f t="shared" ca="1" si="40"/>
        <v>36</v>
      </c>
      <c r="P51" s="7" t="e">
        <f t="shared" ca="1" si="41"/>
        <v>#NAME?</v>
      </c>
      <c r="Q51" s="35" t="e">
        <f t="array" aca="1" ref="Q51" ca="1">IF(O51&lt;2,"",VAR(IF($G$3:$G$38=$L51,IF($H$3:$H$38=$M51,IF($I$3:$I$38=$N51,$J$3:$J$38,"")))))</f>
        <v>#NAME?</v>
      </c>
    </row>
    <row r="52" spans="12:17" x14ac:dyDescent="0.25">
      <c r="L52" s="76" t="e">
        <f t="shared" ca="1" si="38"/>
        <v>#NAME?</v>
      </c>
      <c r="M52" s="7" t="e">
        <f t="shared" ca="1" si="39"/>
        <v>#NAME?</v>
      </c>
      <c r="N52" s="35" t="e">
        <f t="shared" ca="1" si="39"/>
        <v>#NAME?</v>
      </c>
      <c r="O52" s="76">
        <f t="shared" ca="1" si="40"/>
        <v>36</v>
      </c>
      <c r="P52" s="7" t="e">
        <f t="shared" ca="1" si="41"/>
        <v>#NAME?</v>
      </c>
      <c r="Q52" s="35" t="e">
        <f t="array" aca="1" ref="Q52" ca="1">IF(O52&lt;2,"",VAR(IF($G$3:$G$38=$L52,IF($H$3:$H$38=$M52,IF($I$3:$I$38=$N52,$J$3:$J$38,"")))))</f>
        <v>#NAME?</v>
      </c>
    </row>
    <row r="53" spans="12:17" x14ac:dyDescent="0.25">
      <c r="L53" s="76" t="e">
        <f t="shared" ca="1" si="38"/>
        <v>#NAME?</v>
      </c>
      <c r="M53" s="7" t="e">
        <f t="shared" ca="1" si="39"/>
        <v>#NAME?</v>
      </c>
      <c r="N53" s="35" t="e">
        <f t="shared" ca="1" si="39"/>
        <v>#NAME?</v>
      </c>
      <c r="O53" s="76">
        <f t="shared" ca="1" si="40"/>
        <v>36</v>
      </c>
      <c r="P53" s="7" t="e">
        <f t="shared" ca="1" si="41"/>
        <v>#NAME?</v>
      </c>
      <c r="Q53" s="35" t="e">
        <f t="array" aca="1" ref="Q53" ca="1">IF(O53&lt;2,"",VAR(IF($G$3:$G$38=$L53,IF($H$3:$H$38=$M53,IF($I$3:$I$38=$N53,$J$3:$J$38,"")))))</f>
        <v>#NAME?</v>
      </c>
    </row>
    <row r="54" spans="12:17" x14ac:dyDescent="0.25">
      <c r="L54" s="76" t="e">
        <f t="shared" ca="1" si="38"/>
        <v>#NAME?</v>
      </c>
      <c r="M54" s="7" t="e">
        <f t="shared" ca="1" si="39"/>
        <v>#NAME?</v>
      </c>
      <c r="N54" s="35" t="e">
        <f t="shared" ca="1" si="39"/>
        <v>#NAME?</v>
      </c>
      <c r="O54" s="76">
        <f t="shared" ca="1" si="40"/>
        <v>36</v>
      </c>
      <c r="P54" s="7" t="e">
        <f t="shared" ca="1" si="41"/>
        <v>#NAME?</v>
      </c>
      <c r="Q54" s="35" t="e">
        <f t="array" aca="1" ref="Q54" ca="1">IF(O54&lt;2,"",VAR(IF($G$3:$G$38=$L54,IF($H$3:$H$38=$M54,IF($I$3:$I$38=$N54,$J$3:$J$38,"")))))</f>
        <v>#NAME?</v>
      </c>
    </row>
    <row r="55" spans="12:17" x14ac:dyDescent="0.25">
      <c r="L55" s="76" t="e">
        <f t="shared" ca="1" si="38"/>
        <v>#NAME?</v>
      </c>
      <c r="M55" s="7" t="e">
        <f t="shared" ca="1" si="39"/>
        <v>#NAME?</v>
      </c>
      <c r="N55" s="35" t="e">
        <f t="shared" ca="1" si="39"/>
        <v>#NAME?</v>
      </c>
      <c r="O55" s="76">
        <f t="shared" ca="1" si="40"/>
        <v>36</v>
      </c>
      <c r="P55" s="7" t="e">
        <f t="shared" ca="1" si="41"/>
        <v>#NAME?</v>
      </c>
      <c r="Q55" s="35" t="e">
        <f t="array" aca="1" ref="Q55" ca="1">IF(O55&lt;2,"",VAR(IF($G$3:$G$38=$L55,IF($H$3:$H$38=$M55,IF($I$3:$I$38=$N55,$J$3:$J$38,"")))))</f>
        <v>#NAME?</v>
      </c>
    </row>
    <row r="56" spans="12:17" x14ac:dyDescent="0.25">
      <c r="L56" s="76" t="e">
        <f t="shared" ca="1" si="38"/>
        <v>#NAME?</v>
      </c>
      <c r="M56" s="7" t="e">
        <f t="shared" ca="1" si="39"/>
        <v>#NAME?</v>
      </c>
      <c r="N56" s="35" t="e">
        <f t="shared" ca="1" si="39"/>
        <v>#NAME?</v>
      </c>
      <c r="O56" s="76">
        <f t="shared" ca="1" si="40"/>
        <v>36</v>
      </c>
      <c r="P56" s="7" t="e">
        <f t="shared" ca="1" si="41"/>
        <v>#NAME?</v>
      </c>
      <c r="Q56" s="35" t="e">
        <f t="array" aca="1" ref="Q56" ca="1">IF(O56&lt;2,"",VAR(IF($G$3:$G$38=$L56,IF($H$3:$H$38=$M56,IF($I$3:$I$38=$N56,$J$3:$J$38,"")))))</f>
        <v>#NAME?</v>
      </c>
    </row>
    <row r="57" spans="12:17" x14ac:dyDescent="0.25">
      <c r="L57" s="76" t="e">
        <f t="shared" ca="1" si="38"/>
        <v>#NAME?</v>
      </c>
      <c r="M57" s="7" t="e">
        <f t="shared" ca="1" si="39"/>
        <v>#NAME?</v>
      </c>
      <c r="N57" s="35" t="e">
        <f t="shared" ca="1" si="39"/>
        <v>#NAME?</v>
      </c>
      <c r="O57" s="76">
        <f t="shared" ca="1" si="40"/>
        <v>36</v>
      </c>
      <c r="P57" s="7" t="e">
        <f t="shared" ca="1" si="41"/>
        <v>#NAME?</v>
      </c>
      <c r="Q57" s="35" t="e">
        <f t="array" aca="1" ref="Q57" ca="1">IF(O57&lt;2,"",VAR(IF($G$3:$G$38=$L57,IF($H$3:$H$38=$M57,IF($I$3:$I$38=$N57,$J$3:$J$38,"")))))</f>
        <v>#NAME?</v>
      </c>
    </row>
    <row r="58" spans="12:17" x14ac:dyDescent="0.25">
      <c r="L58" s="76" t="e">
        <f t="shared" ca="1" si="38"/>
        <v>#NAME?</v>
      </c>
      <c r="M58" s="7" t="e">
        <f t="shared" ca="1" si="39"/>
        <v>#NAME?</v>
      </c>
      <c r="N58" s="35" t="e">
        <f t="shared" ca="1" si="39"/>
        <v>#NAME?</v>
      </c>
      <c r="O58" s="76">
        <f t="shared" ca="1" si="40"/>
        <v>36</v>
      </c>
      <c r="P58" s="7" t="e">
        <f t="shared" ca="1" si="41"/>
        <v>#NAME?</v>
      </c>
      <c r="Q58" s="35" t="e">
        <f t="array" aca="1" ref="Q58" ca="1">IF(O58&lt;2,"",VAR(IF($G$3:$G$38=$L58,IF($H$3:$H$38=$M58,IF($I$3:$I$38=$N58,$J$3:$J$38,"")))))</f>
        <v>#NAME?</v>
      </c>
    </row>
    <row r="59" spans="12:17" x14ac:dyDescent="0.25">
      <c r="L59" s="76" t="e">
        <f ca="1">$L$5</f>
        <v>#NAME?</v>
      </c>
      <c r="M59" s="7" t="e">
        <f t="shared" ca="1" si="39"/>
        <v>#NAME?</v>
      </c>
      <c r="N59" s="35" t="e">
        <f t="shared" ca="1" si="39"/>
        <v>#NAME?</v>
      </c>
      <c r="O59" s="76">
        <f t="shared" ca="1" si="40"/>
        <v>36</v>
      </c>
      <c r="P59" s="7" t="e">
        <f t="shared" ca="1" si="41"/>
        <v>#NAME?</v>
      </c>
      <c r="Q59" s="35" t="e">
        <f t="array" aca="1" ref="Q59" ca="1">IF(O59&lt;2,"",VAR(IF($G$3:$G$38=$L59,IF($H$3:$H$38=$M59,IF($I$3:$I$38=$N59,$J$3:$J$38,"")))))</f>
        <v>#NAME?</v>
      </c>
    </row>
    <row r="60" spans="12:17" x14ac:dyDescent="0.25">
      <c r="L60" s="76" t="e">
        <f t="shared" ref="L60:L70" ca="1" si="42">$L$5</f>
        <v>#NAME?</v>
      </c>
      <c r="M60" s="7" t="e">
        <f t="shared" ca="1" si="39"/>
        <v>#NAME?</v>
      </c>
      <c r="N60" s="35" t="e">
        <f t="shared" ca="1" si="39"/>
        <v>#NAME?</v>
      </c>
      <c r="O60" s="76">
        <f t="shared" ca="1" si="40"/>
        <v>36</v>
      </c>
      <c r="P60" s="7" t="e">
        <f t="shared" ca="1" si="41"/>
        <v>#NAME?</v>
      </c>
      <c r="Q60" s="35" t="e">
        <f t="array" aca="1" ref="Q60" ca="1">IF(O60&lt;2,"",VAR(IF($G$3:$G$38=$L60,IF($H$3:$H$38=$M60,IF($I$3:$I$38=$N60,$J$3:$J$38,"")))))</f>
        <v>#NAME?</v>
      </c>
    </row>
    <row r="61" spans="12:17" x14ac:dyDescent="0.25">
      <c r="L61" s="76" t="e">
        <f t="shared" ca="1" si="42"/>
        <v>#NAME?</v>
      </c>
      <c r="M61" s="7" t="e">
        <f t="shared" ca="1" si="39"/>
        <v>#NAME?</v>
      </c>
      <c r="N61" s="35" t="e">
        <f t="shared" ca="1" si="39"/>
        <v>#NAME?</v>
      </c>
      <c r="O61" s="76">
        <f t="shared" ca="1" si="40"/>
        <v>36</v>
      </c>
      <c r="P61" s="7" t="e">
        <f t="shared" ca="1" si="41"/>
        <v>#NAME?</v>
      </c>
      <c r="Q61" s="35" t="e">
        <f t="array" aca="1" ref="Q61" ca="1">IF(O61&lt;2,"",VAR(IF($G$3:$G$38=$L61,IF($H$3:$H$38=$M61,IF($I$3:$I$38=$N61,$J$3:$J$38,"")))))</f>
        <v>#NAME?</v>
      </c>
    </row>
    <row r="62" spans="12:17" x14ac:dyDescent="0.25">
      <c r="L62" s="76" t="e">
        <f t="shared" ca="1" si="42"/>
        <v>#NAME?</v>
      </c>
      <c r="M62" s="7" t="e">
        <f t="shared" ca="1" si="39"/>
        <v>#NAME?</v>
      </c>
      <c r="N62" s="35" t="e">
        <f t="shared" ca="1" si="39"/>
        <v>#NAME?</v>
      </c>
      <c r="O62" s="76">
        <f t="shared" ca="1" si="40"/>
        <v>36</v>
      </c>
      <c r="P62" s="7" t="e">
        <f t="shared" ca="1" si="41"/>
        <v>#NAME?</v>
      </c>
      <c r="Q62" s="35" t="e">
        <f t="array" aca="1" ref="Q62" ca="1">IF(O62&lt;2,"",VAR(IF($G$3:$G$38=$L62,IF($H$3:$H$38=$M62,IF($I$3:$I$38=$N62,$J$3:$J$38,"")))))</f>
        <v>#NAME?</v>
      </c>
    </row>
    <row r="63" spans="12:17" x14ac:dyDescent="0.25">
      <c r="L63" s="76" t="e">
        <f t="shared" ca="1" si="42"/>
        <v>#NAME?</v>
      </c>
      <c r="M63" s="7" t="e">
        <f t="shared" ca="1" si="39"/>
        <v>#NAME?</v>
      </c>
      <c r="N63" s="35" t="e">
        <f t="shared" ca="1" si="39"/>
        <v>#NAME?</v>
      </c>
      <c r="O63" s="76">
        <f t="shared" ca="1" si="40"/>
        <v>36</v>
      </c>
      <c r="P63" s="7" t="e">
        <f t="shared" ca="1" si="41"/>
        <v>#NAME?</v>
      </c>
      <c r="Q63" s="35" t="e">
        <f t="array" aca="1" ref="Q63" ca="1">IF(O63&lt;2,"",VAR(IF($G$3:$G$38=$L63,IF($H$3:$H$38=$M63,IF($I$3:$I$38=$N63,$J$3:$J$38,"")))))</f>
        <v>#NAME?</v>
      </c>
    </row>
    <row r="64" spans="12:17" x14ac:dyDescent="0.25">
      <c r="L64" s="76" t="e">
        <f t="shared" ca="1" si="42"/>
        <v>#NAME?</v>
      </c>
      <c r="M64" s="7" t="e">
        <f t="shared" ref="M64:N79" ca="1" si="43">M52</f>
        <v>#NAME?</v>
      </c>
      <c r="N64" s="35" t="e">
        <f t="shared" ca="1" si="43"/>
        <v>#NAME?</v>
      </c>
      <c r="O64" s="76">
        <f t="shared" ca="1" si="40"/>
        <v>36</v>
      </c>
      <c r="P64" s="7" t="e">
        <f t="shared" ca="1" si="41"/>
        <v>#NAME?</v>
      </c>
      <c r="Q64" s="35" t="e">
        <f t="array" aca="1" ref="Q64" ca="1">IF(O64&lt;2,"",VAR(IF($G$3:$G$38=$L64,IF($H$3:$H$38=$M64,IF($I$3:$I$38=$N64,$J$3:$J$38,"")))))</f>
        <v>#NAME?</v>
      </c>
    </row>
    <row r="65" spans="12:17" x14ac:dyDescent="0.25">
      <c r="L65" s="76" t="e">
        <f t="shared" ca="1" si="42"/>
        <v>#NAME?</v>
      </c>
      <c r="M65" s="7" t="e">
        <f t="shared" ca="1" si="43"/>
        <v>#NAME?</v>
      </c>
      <c r="N65" s="35" t="e">
        <f t="shared" ca="1" si="43"/>
        <v>#NAME?</v>
      </c>
      <c r="O65" s="76">
        <f t="shared" ca="1" si="40"/>
        <v>36</v>
      </c>
      <c r="P65" s="7" t="e">
        <f t="shared" ca="1" si="41"/>
        <v>#NAME?</v>
      </c>
      <c r="Q65" s="35" t="e">
        <f t="array" aca="1" ref="Q65" ca="1">IF(O65&lt;2,"",VAR(IF($G$3:$G$38=$L65,IF($H$3:$H$38=$M65,IF($I$3:$I$38=$N65,$J$3:$J$38,"")))))</f>
        <v>#NAME?</v>
      </c>
    </row>
    <row r="66" spans="12:17" x14ac:dyDescent="0.25">
      <c r="L66" s="76" t="e">
        <f t="shared" ca="1" si="42"/>
        <v>#NAME?</v>
      </c>
      <c r="M66" s="7" t="e">
        <f t="shared" ca="1" si="43"/>
        <v>#NAME?</v>
      </c>
      <c r="N66" s="35" t="e">
        <f t="shared" ca="1" si="43"/>
        <v>#NAME?</v>
      </c>
      <c r="O66" s="76">
        <f t="shared" ca="1" si="40"/>
        <v>36</v>
      </c>
      <c r="P66" s="7" t="e">
        <f t="shared" ca="1" si="41"/>
        <v>#NAME?</v>
      </c>
      <c r="Q66" s="35" t="e">
        <f t="array" aca="1" ref="Q66" ca="1">IF(O66&lt;2,"",VAR(IF($G$3:$G$38=$L66,IF($H$3:$H$38=$M66,IF($I$3:$I$38=$N66,$J$3:$J$38,"")))))</f>
        <v>#NAME?</v>
      </c>
    </row>
    <row r="67" spans="12:17" x14ac:dyDescent="0.25">
      <c r="L67" s="76" t="e">
        <f t="shared" ca="1" si="42"/>
        <v>#NAME?</v>
      </c>
      <c r="M67" s="7" t="e">
        <f t="shared" ca="1" si="43"/>
        <v>#NAME?</v>
      </c>
      <c r="N67" s="35" t="e">
        <f t="shared" ca="1" si="43"/>
        <v>#NAME?</v>
      </c>
      <c r="O67" s="76">
        <f t="shared" ca="1" si="40"/>
        <v>36</v>
      </c>
      <c r="P67" s="7" t="e">
        <f t="shared" ca="1" si="41"/>
        <v>#NAME?</v>
      </c>
      <c r="Q67" s="35" t="e">
        <f t="array" aca="1" ref="Q67" ca="1">IF(O67&lt;2,"",VAR(IF($G$3:$G$38=$L67,IF($H$3:$H$38=$M67,IF($I$3:$I$38=$N67,$J$3:$J$38,"")))))</f>
        <v>#NAME?</v>
      </c>
    </row>
    <row r="68" spans="12:17" x14ac:dyDescent="0.25">
      <c r="L68" s="76" t="e">
        <f t="shared" ca="1" si="42"/>
        <v>#NAME?</v>
      </c>
      <c r="M68" s="7" t="e">
        <f t="shared" ca="1" si="43"/>
        <v>#NAME?</v>
      </c>
      <c r="N68" s="35" t="e">
        <f t="shared" ca="1" si="43"/>
        <v>#NAME?</v>
      </c>
      <c r="O68" s="76">
        <f t="shared" ca="1" si="40"/>
        <v>36</v>
      </c>
      <c r="P68" s="7" t="e">
        <f t="shared" ca="1" si="41"/>
        <v>#NAME?</v>
      </c>
      <c r="Q68" s="35" t="e">
        <f t="array" aca="1" ref="Q68" ca="1">IF(O68&lt;2,"",VAR(IF($G$3:$G$38=$L68,IF($H$3:$H$38=$M68,IF($I$3:$I$38=$N68,$J$3:$J$38,"")))))</f>
        <v>#NAME?</v>
      </c>
    </row>
    <row r="69" spans="12:17" x14ac:dyDescent="0.25">
      <c r="L69" s="76" t="e">
        <f t="shared" ca="1" si="42"/>
        <v>#NAME?</v>
      </c>
      <c r="M69" s="7" t="e">
        <f t="shared" ca="1" si="43"/>
        <v>#NAME?</v>
      </c>
      <c r="N69" s="35" t="e">
        <f t="shared" ca="1" si="43"/>
        <v>#NAME?</v>
      </c>
      <c r="O69" s="76">
        <f t="shared" ca="1" si="40"/>
        <v>36</v>
      </c>
      <c r="P69" s="7" t="e">
        <f t="shared" ca="1" si="41"/>
        <v>#NAME?</v>
      </c>
      <c r="Q69" s="35" t="e">
        <f t="array" aca="1" ref="Q69" ca="1">IF(O69&lt;2,"",VAR(IF($G$3:$G$38=$L69,IF($H$3:$H$38=$M69,IF($I$3:$I$38=$N69,$J$3:$J$38,"")))))</f>
        <v>#NAME?</v>
      </c>
    </row>
    <row r="70" spans="12:17" x14ac:dyDescent="0.25">
      <c r="L70" s="76" t="e">
        <f t="shared" ca="1" si="42"/>
        <v>#NAME?</v>
      </c>
      <c r="M70" s="7" t="e">
        <f t="shared" ca="1" si="43"/>
        <v>#NAME?</v>
      </c>
      <c r="N70" s="35" t="e">
        <f t="shared" ca="1" si="43"/>
        <v>#NAME?</v>
      </c>
      <c r="O70" s="76">
        <f t="shared" ca="1" si="40"/>
        <v>36</v>
      </c>
      <c r="P70" s="7" t="e">
        <f t="shared" ca="1" si="41"/>
        <v>#NAME?</v>
      </c>
      <c r="Q70" s="35" t="e">
        <f t="array" aca="1" ref="Q70" ca="1">IF(O70&lt;2,"",VAR(IF($G$3:$G$38=$L70,IF($H$3:$H$38=$M70,IF($I$3:$I$38=$N70,$J$3:$J$38,"")))))</f>
        <v>#NAME?</v>
      </c>
    </row>
    <row r="71" spans="12:17" x14ac:dyDescent="0.25">
      <c r="L71" s="76" t="e">
        <f ca="1">$L$6</f>
        <v>#NAME?</v>
      </c>
      <c r="M71" s="7" t="e">
        <f t="shared" ca="1" si="43"/>
        <v>#NAME?</v>
      </c>
      <c r="N71" s="35" t="e">
        <f t="shared" ca="1" si="43"/>
        <v>#NAME?</v>
      </c>
      <c r="O71" s="76">
        <f t="shared" ca="1" si="40"/>
        <v>36</v>
      </c>
      <c r="P71" s="7" t="e">
        <f t="shared" ca="1" si="41"/>
        <v>#NAME?</v>
      </c>
      <c r="Q71" s="35" t="e">
        <f t="array" aca="1" ref="Q71" ca="1">IF(O71&lt;2,"",VAR(IF($G$3:$G$38=$L71,IF($H$3:$H$38=$M71,IF($I$3:$I$38=$N71,$J$3:$J$38,"")))))</f>
        <v>#NAME?</v>
      </c>
    </row>
    <row r="72" spans="12:17" x14ac:dyDescent="0.25">
      <c r="L72" s="76" t="e">
        <f t="shared" ref="L72:L82" ca="1" si="44">$L$6</f>
        <v>#NAME?</v>
      </c>
      <c r="M72" s="7" t="e">
        <f t="shared" ca="1" si="43"/>
        <v>#NAME?</v>
      </c>
      <c r="N72" s="35" t="e">
        <f t="shared" ca="1" si="43"/>
        <v>#NAME?</v>
      </c>
      <c r="O72" s="76">
        <f t="shared" ca="1" si="40"/>
        <v>36</v>
      </c>
      <c r="P72" s="7" t="e">
        <f t="shared" ca="1" si="41"/>
        <v>#NAME?</v>
      </c>
      <c r="Q72" s="35" t="e">
        <f t="array" aca="1" ref="Q72" ca="1">IF(O72&lt;2,"",VAR(IF($G$3:$G$38=$L72,IF($H$3:$H$38=$M72,IF($I$3:$I$38=$N72,$J$3:$J$38,"")))))</f>
        <v>#NAME?</v>
      </c>
    </row>
    <row r="73" spans="12:17" x14ac:dyDescent="0.25">
      <c r="L73" s="76" t="e">
        <f t="shared" ca="1" si="44"/>
        <v>#NAME?</v>
      </c>
      <c r="M73" s="7" t="e">
        <f t="shared" ca="1" si="43"/>
        <v>#NAME?</v>
      </c>
      <c r="N73" s="35" t="e">
        <f t="shared" ca="1" si="43"/>
        <v>#NAME?</v>
      </c>
      <c r="O73" s="76">
        <f t="shared" ca="1" si="40"/>
        <v>36</v>
      </c>
      <c r="P73" s="7" t="e">
        <f t="shared" ca="1" si="41"/>
        <v>#NAME?</v>
      </c>
      <c r="Q73" s="35" t="e">
        <f t="array" aca="1" ref="Q73" ca="1">IF(O73&lt;2,"",VAR(IF($G$3:$G$38=$L73,IF($H$3:$H$38=$M73,IF($I$3:$I$38=$N73,$J$3:$J$38,"")))))</f>
        <v>#NAME?</v>
      </c>
    </row>
    <row r="74" spans="12:17" x14ac:dyDescent="0.25">
      <c r="L74" s="76" t="e">
        <f t="shared" ca="1" si="44"/>
        <v>#NAME?</v>
      </c>
      <c r="M74" s="7" t="e">
        <f t="shared" ca="1" si="43"/>
        <v>#NAME?</v>
      </c>
      <c r="N74" s="35" t="e">
        <f t="shared" ca="1" si="43"/>
        <v>#NAME?</v>
      </c>
      <c r="O74" s="76">
        <f t="shared" ca="1" si="40"/>
        <v>36</v>
      </c>
      <c r="P74" s="7" t="e">
        <f t="shared" ca="1" si="41"/>
        <v>#NAME?</v>
      </c>
      <c r="Q74" s="35" t="e">
        <f t="array" aca="1" ref="Q74" ca="1">IF(O74&lt;2,"",VAR(IF($G$3:$G$38=$L74,IF($H$3:$H$38=$M74,IF($I$3:$I$38=$N74,$J$3:$J$38,"")))))</f>
        <v>#NAME?</v>
      </c>
    </row>
    <row r="75" spans="12:17" x14ac:dyDescent="0.25">
      <c r="L75" s="76" t="e">
        <f t="shared" ca="1" si="44"/>
        <v>#NAME?</v>
      </c>
      <c r="M75" s="7" t="e">
        <f t="shared" ca="1" si="43"/>
        <v>#NAME?</v>
      </c>
      <c r="N75" s="35" t="e">
        <f t="shared" ca="1" si="43"/>
        <v>#NAME?</v>
      </c>
      <c r="O75" s="76">
        <f t="shared" ca="1" si="40"/>
        <v>36</v>
      </c>
      <c r="P75" s="7" t="e">
        <f t="shared" ca="1" si="41"/>
        <v>#NAME?</v>
      </c>
      <c r="Q75" s="35" t="e">
        <f t="array" aca="1" ref="Q75" ca="1">IF(O75&lt;2,"",VAR(IF($G$3:$G$38=$L75,IF($H$3:$H$38=$M75,IF($I$3:$I$38=$N75,$J$3:$J$38,"")))))</f>
        <v>#NAME?</v>
      </c>
    </row>
    <row r="76" spans="12:17" x14ac:dyDescent="0.25">
      <c r="L76" s="76" t="e">
        <f t="shared" ca="1" si="44"/>
        <v>#NAME?</v>
      </c>
      <c r="M76" s="7" t="e">
        <f t="shared" ca="1" si="43"/>
        <v>#NAME?</v>
      </c>
      <c r="N76" s="35" t="e">
        <f t="shared" ca="1" si="43"/>
        <v>#NAME?</v>
      </c>
      <c r="O76" s="76">
        <f t="shared" ca="1" si="40"/>
        <v>36</v>
      </c>
      <c r="P76" s="7" t="e">
        <f t="shared" ca="1" si="41"/>
        <v>#NAME?</v>
      </c>
      <c r="Q76" s="35" t="e">
        <f t="array" aca="1" ref="Q76" ca="1">IF(O76&lt;2,"",VAR(IF($G$3:$G$38=$L76,IF($H$3:$H$38=$M76,IF($I$3:$I$38=$N76,$J$3:$J$38,"")))))</f>
        <v>#NAME?</v>
      </c>
    </row>
    <row r="77" spans="12:17" x14ac:dyDescent="0.25">
      <c r="L77" s="76" t="e">
        <f t="shared" ca="1" si="44"/>
        <v>#NAME?</v>
      </c>
      <c r="M77" s="7" t="e">
        <f t="shared" ca="1" si="43"/>
        <v>#NAME?</v>
      </c>
      <c r="N77" s="35" t="e">
        <f t="shared" ca="1" si="43"/>
        <v>#NAME?</v>
      </c>
      <c r="O77" s="76">
        <f t="shared" ca="1" si="40"/>
        <v>36</v>
      </c>
      <c r="P77" s="7" t="e">
        <f t="shared" ca="1" si="41"/>
        <v>#NAME?</v>
      </c>
      <c r="Q77" s="35" t="e">
        <f t="array" aca="1" ref="Q77" ca="1">IF(O77&lt;2,"",VAR(IF($G$3:$G$38=$L77,IF($H$3:$H$38=$M77,IF($I$3:$I$38=$N77,$J$3:$J$38,"")))))</f>
        <v>#NAME?</v>
      </c>
    </row>
    <row r="78" spans="12:17" x14ac:dyDescent="0.25">
      <c r="L78" s="76" t="e">
        <f t="shared" ca="1" si="44"/>
        <v>#NAME?</v>
      </c>
      <c r="M78" s="7" t="e">
        <f t="shared" ca="1" si="43"/>
        <v>#NAME?</v>
      </c>
      <c r="N78" s="35" t="e">
        <f t="shared" ca="1" si="43"/>
        <v>#NAME?</v>
      </c>
      <c r="O78" s="76">
        <f t="shared" ca="1" si="40"/>
        <v>36</v>
      </c>
      <c r="P78" s="7" t="e">
        <f t="shared" ca="1" si="41"/>
        <v>#NAME?</v>
      </c>
      <c r="Q78" s="35" t="e">
        <f t="array" aca="1" ref="Q78" ca="1">IF(O78&lt;2,"",VAR(IF($G$3:$G$38=$L78,IF($H$3:$H$38=$M78,IF($I$3:$I$38=$N78,$J$3:$J$38,"")))))</f>
        <v>#NAME?</v>
      </c>
    </row>
    <row r="79" spans="12:17" x14ac:dyDescent="0.25">
      <c r="L79" s="76" t="e">
        <f t="shared" ca="1" si="44"/>
        <v>#NAME?</v>
      </c>
      <c r="M79" s="7" t="e">
        <f t="shared" ca="1" si="43"/>
        <v>#NAME?</v>
      </c>
      <c r="N79" s="35" t="e">
        <f t="shared" ca="1" si="43"/>
        <v>#NAME?</v>
      </c>
      <c r="O79" s="76">
        <f t="shared" ca="1" si="40"/>
        <v>36</v>
      </c>
      <c r="P79" s="7" t="e">
        <f t="shared" ca="1" si="41"/>
        <v>#NAME?</v>
      </c>
      <c r="Q79" s="35" t="e">
        <f t="array" aca="1" ref="Q79" ca="1">IF(O79&lt;2,"",VAR(IF($G$3:$G$38=$L79,IF($H$3:$H$38=$M79,IF($I$3:$I$38=$N79,$J$3:$J$38,"")))))</f>
        <v>#NAME?</v>
      </c>
    </row>
    <row r="80" spans="12:17" x14ac:dyDescent="0.25">
      <c r="L80" s="76" t="e">
        <f t="shared" ca="1" si="44"/>
        <v>#NAME?</v>
      </c>
      <c r="M80" s="7" t="e">
        <f t="shared" ref="M80:N82" ca="1" si="45">M68</f>
        <v>#NAME?</v>
      </c>
      <c r="N80" s="35" t="e">
        <f t="shared" ca="1" si="45"/>
        <v>#NAME?</v>
      </c>
      <c r="O80" s="76">
        <f t="shared" ca="1" si="40"/>
        <v>36</v>
      </c>
      <c r="P80" s="7" t="e">
        <f t="shared" ca="1" si="41"/>
        <v>#NAME?</v>
      </c>
      <c r="Q80" s="35" t="e">
        <f t="array" aca="1" ref="Q80" ca="1">IF(O80&lt;2,"",VAR(IF($G$3:$G$38=$L80,IF($H$3:$H$38=$M80,IF($I$3:$I$38=$N80,$J$3:$J$38,"")))))</f>
        <v>#NAME?</v>
      </c>
    </row>
    <row r="81" spans="12:17" x14ac:dyDescent="0.25">
      <c r="L81" s="76" t="e">
        <f t="shared" ca="1" si="44"/>
        <v>#NAME?</v>
      </c>
      <c r="M81" s="7" t="e">
        <f t="shared" ca="1" si="45"/>
        <v>#NAME?</v>
      </c>
      <c r="N81" s="35" t="e">
        <f t="shared" ca="1" si="45"/>
        <v>#NAME?</v>
      </c>
      <c r="O81" s="76">
        <f t="shared" ca="1" si="40"/>
        <v>36</v>
      </c>
      <c r="P81" s="7" t="e">
        <f t="shared" ca="1" si="41"/>
        <v>#NAME?</v>
      </c>
      <c r="Q81" s="35" t="e">
        <f t="array" aca="1" ref="Q81" ca="1">IF(O81&lt;2,"",VAR(IF($G$3:$G$38=$L81,IF($H$3:$H$38=$M81,IF($I$3:$I$38=$N81,$J$3:$J$38,"")))))</f>
        <v>#NAME?</v>
      </c>
    </row>
    <row r="82" spans="12:17" x14ac:dyDescent="0.25">
      <c r="L82" s="348" t="e">
        <f t="shared" ca="1" si="44"/>
        <v>#NAME?</v>
      </c>
      <c r="M82" s="349" t="e">
        <f t="shared" ca="1" si="45"/>
        <v>#NAME?</v>
      </c>
      <c r="N82" s="350" t="e">
        <f t="shared" ca="1" si="45"/>
        <v>#NAME?</v>
      </c>
      <c r="O82" s="348">
        <f t="shared" ca="1" si="40"/>
        <v>36</v>
      </c>
      <c r="P82" s="349" t="e">
        <f t="shared" ca="1" si="41"/>
        <v>#NAME?</v>
      </c>
      <c r="Q82" s="350" t="e">
        <f t="array" aca="1" ref="Q82" ca="1">IF(O82&lt;2,"",VAR(IF($G$3:$G$38=$L82,IF($H$3:$H$38=$M82,IF($I$3:$I$38=$N82,$J$3:$J$38,"")))))</f>
        <v>#NAME?</v>
      </c>
    </row>
    <row r="83" spans="12:17" x14ac:dyDescent="0.2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BM83"/>
  <sheetViews>
    <sheetView topLeftCell="AT1" workbookViewId="0"/>
  </sheetViews>
  <sheetFormatPr defaultRowHeight="15" x14ac:dyDescent="0.25"/>
  <cols>
    <col min="1" max="1" width="5" customWidth="1"/>
    <col min="2" max="5" width="7.5703125" customWidth="1"/>
    <col min="19" max="19" width="17.140625" customWidth="1"/>
  </cols>
  <sheetData>
    <row r="1" spans="1:65" ht="15.75" thickBot="1" x14ac:dyDescent="0.3">
      <c r="A1" s="1" t="s">
        <v>704</v>
      </c>
      <c r="G1" t="s">
        <v>501</v>
      </c>
      <c r="L1" t="s">
        <v>12</v>
      </c>
      <c r="S1" t="s">
        <v>716</v>
      </c>
      <c r="AA1" t="s">
        <v>712</v>
      </c>
      <c r="AL1" t="s">
        <v>713</v>
      </c>
      <c r="AW1" t="s">
        <v>714</v>
      </c>
      <c r="AZ1" t="s">
        <v>17</v>
      </c>
      <c r="BA1" s="365">
        <v>0.05</v>
      </c>
      <c r="BF1" t="s">
        <v>715</v>
      </c>
      <c r="BI1" t="s">
        <v>17</v>
      </c>
      <c r="BJ1" s="365">
        <v>0.05</v>
      </c>
    </row>
    <row r="2" spans="1:65" ht="15.75" thickTop="1" x14ac:dyDescent="0.25">
      <c r="AA2" s="191" t="s">
        <v>825</v>
      </c>
      <c r="AB2" s="191" t="s">
        <v>829</v>
      </c>
      <c r="AC2" s="191" t="s">
        <v>6</v>
      </c>
      <c r="AD2" s="191" t="s">
        <v>830</v>
      </c>
      <c r="AL2" s="191" t="s">
        <v>825</v>
      </c>
      <c r="AM2" s="191" t="s">
        <v>829</v>
      </c>
      <c r="AN2" s="191" t="s">
        <v>6</v>
      </c>
      <c r="AO2" s="191" t="s">
        <v>830</v>
      </c>
      <c r="AW2" s="191" t="s">
        <v>825</v>
      </c>
      <c r="AX2" s="191" t="s">
        <v>6</v>
      </c>
      <c r="AY2" s="191" t="s">
        <v>830</v>
      </c>
      <c r="AZ2" s="191" t="s">
        <v>183</v>
      </c>
      <c r="BA2" s="191" t="s">
        <v>37</v>
      </c>
      <c r="BB2" s="191" t="s">
        <v>113</v>
      </c>
      <c r="BC2" s="191" t="s">
        <v>826</v>
      </c>
      <c r="BF2" s="191" t="s">
        <v>825</v>
      </c>
      <c r="BG2" s="191" t="s">
        <v>6</v>
      </c>
      <c r="BH2" s="191" t="s">
        <v>830</v>
      </c>
      <c r="BI2" s="191" t="s">
        <v>183</v>
      </c>
      <c r="BJ2" s="191" t="s">
        <v>37</v>
      </c>
      <c r="BK2" s="191" t="s">
        <v>113</v>
      </c>
      <c r="BL2" s="191" t="s">
        <v>826</v>
      </c>
    </row>
    <row r="3" spans="1:65" ht="15.75" thickBot="1" x14ac:dyDescent="0.3">
      <c r="B3" s="365" t="s">
        <v>74</v>
      </c>
      <c r="C3" s="365" t="s">
        <v>65</v>
      </c>
      <c r="D3" s="365" t="s">
        <v>66</v>
      </c>
      <c r="E3" s="365" t="s">
        <v>67</v>
      </c>
      <c r="G3" s="386" t="e">
        <f t="array" aca="1" ref="G3:J38" ca="1">Split2Std(A3:E12, 3)</f>
        <v>#NAME?</v>
      </c>
      <c r="H3" s="387" t="e">
        <f ca="1"/>
        <v>#NAME?</v>
      </c>
      <c r="I3" s="387" t="e">
        <f ca="1"/>
        <v>#NAME?</v>
      </c>
      <c r="J3" s="388" t="e">
        <f ca="1"/>
        <v>#NAME?</v>
      </c>
      <c r="O3" s="12" t="s">
        <v>11</v>
      </c>
      <c r="P3" s="12" t="s">
        <v>8</v>
      </c>
      <c r="Q3" s="12" t="s">
        <v>48</v>
      </c>
      <c r="S3" t="s">
        <v>84</v>
      </c>
      <c r="W3" s="365" t="s">
        <v>17</v>
      </c>
      <c r="X3" s="365">
        <v>0.05</v>
      </c>
      <c r="AA3" s="351" t="e">
        <f t="array" ref="AA3:AA6" ca="1">N10:N13</f>
        <v>#NAME?</v>
      </c>
      <c r="AB3" s="382"/>
      <c r="AC3" s="351" t="e">
        <f t="array" ref="AC3:AC6" ca="1">P10:P13</f>
        <v>#NAME?</v>
      </c>
      <c r="AD3" s="351">
        <f t="array" ref="AD3:AD6" ca="1">O10:O13</f>
        <v>1296</v>
      </c>
      <c r="AL3" s="351" t="e">
        <f t="array" ref="AL3:AL5" ca="1">M7:M9</f>
        <v>#NAME?</v>
      </c>
      <c r="AM3" s="382"/>
      <c r="AN3" s="351" t="e">
        <f t="array" ref="AN3:AN5" ca="1">P7:P9</f>
        <v>#NAME?</v>
      </c>
      <c r="AO3" s="351">
        <f t="array" ref="AO3:AO5" ca="1">O7:O9</f>
        <v>1296</v>
      </c>
      <c r="AW3" s="351" t="e">
        <f t="array" ref="AW3:AW6" ca="1">N10:N13</f>
        <v>#NAME?</v>
      </c>
      <c r="AX3" s="351" t="e">
        <f t="array" ref="AX3:AX6" ca="1">P10:P13</f>
        <v>#NAME?</v>
      </c>
      <c r="AY3" s="351">
        <f t="array" ref="AY3:AY6" ca="1">O10:O13</f>
        <v>1296</v>
      </c>
      <c r="AZ3" s="351"/>
      <c r="BA3" s="351"/>
      <c r="BB3" s="351"/>
      <c r="BC3" s="351"/>
      <c r="BF3" s="351" t="e">
        <f t="array" ref="BF3:BF5" ca="1">M7:M9</f>
        <v>#NAME?</v>
      </c>
      <c r="BG3" s="351" t="e">
        <f t="array" ref="BG3:BG5" ca="1">P7:P9</f>
        <v>#NAME?</v>
      </c>
      <c r="BH3" s="351">
        <f t="array" ref="BH3:BH5" ca="1">O7:O9</f>
        <v>1296</v>
      </c>
      <c r="BI3" s="351"/>
      <c r="BJ3" s="351"/>
      <c r="BK3" s="351"/>
      <c r="BL3" s="351"/>
    </row>
    <row r="4" spans="1:65" ht="15.75" thickTop="1" x14ac:dyDescent="0.25">
      <c r="A4" s="365">
        <v>580</v>
      </c>
      <c r="B4" s="389">
        <v>217</v>
      </c>
      <c r="C4" s="390">
        <v>158</v>
      </c>
      <c r="D4" s="390">
        <v>229</v>
      </c>
      <c r="E4" s="391">
        <v>223</v>
      </c>
      <c r="G4" s="76" t="e">
        <f ca="1"/>
        <v>#NAME?</v>
      </c>
      <c r="H4" s="7" t="e">
        <f ca="1"/>
        <v>#NAME?</v>
      </c>
      <c r="I4" s="7" t="e">
        <f ca="1"/>
        <v>#NAME?</v>
      </c>
      <c r="J4" s="35" t="e">
        <f ca="1"/>
        <v>#NAME?</v>
      </c>
      <c r="L4" s="386" t="e">
        <f t="array" aca="1" ref="L4:L6" ca="1">SortUnique(G3:G38)</f>
        <v>#NAME?</v>
      </c>
      <c r="M4" s="387"/>
      <c r="N4" s="388"/>
      <c r="O4" s="386">
        <f ca="1">SUMIF($L$47:$L$82,L4,$O$47:$O$82)</f>
        <v>1296</v>
      </c>
      <c r="P4" s="387" t="e">
        <f ca="1">IF(O4=0,"",AVERAGEIF($G$3:$G$38,$L4,$J$3:$J$38))</f>
        <v>#NAME?</v>
      </c>
      <c r="Q4" s="388" t="e">
        <f t="array" aca="1" ref="Q4" ca="1">IF(O4&lt;2,"",VAR(IF($G$3:$G$38=$L4,$J$3:$J$38,"")))</f>
        <v>#NAME?</v>
      </c>
      <c r="S4" s="191"/>
      <c r="T4" s="191" t="s">
        <v>76</v>
      </c>
      <c r="U4" s="191" t="s">
        <v>37</v>
      </c>
      <c r="V4" s="191" t="s">
        <v>78</v>
      </c>
      <c r="W4" s="191" t="s">
        <v>68</v>
      </c>
      <c r="X4" s="191" t="s">
        <v>43</v>
      </c>
      <c r="Y4" s="191" t="s">
        <v>111</v>
      </c>
      <c r="AA4" s="7" t="e">
        <f ca="1"/>
        <v>#NAME?</v>
      </c>
      <c r="AB4" s="257">
        <v>-1</v>
      </c>
      <c r="AC4" s="7" t="e">
        <f ca="1"/>
        <v>#NAME?</v>
      </c>
      <c r="AD4" s="7">
        <f ca="1"/>
        <v>1296</v>
      </c>
      <c r="AL4" s="7" t="e">
        <f ca="1"/>
        <v>#NAME?</v>
      </c>
      <c r="AM4" s="257">
        <v>1</v>
      </c>
      <c r="AN4" s="7" t="e">
        <f ca="1"/>
        <v>#NAME?</v>
      </c>
      <c r="AO4" s="7">
        <f ca="1"/>
        <v>1296</v>
      </c>
      <c r="AW4" s="7" t="e">
        <f ca="1"/>
        <v>#NAME?</v>
      </c>
      <c r="AX4" s="7" t="e">
        <f ca="1"/>
        <v>#NAME?</v>
      </c>
      <c r="AY4" s="7">
        <f ca="1"/>
        <v>1296</v>
      </c>
      <c r="AZ4" s="7"/>
      <c r="BA4" s="7"/>
      <c r="BB4" s="7"/>
      <c r="BC4" s="7"/>
      <c r="BF4" s="7" t="e">
        <f ca="1"/>
        <v>#NAME?</v>
      </c>
      <c r="BG4" s="7" t="e">
        <f ca="1"/>
        <v>#NAME?</v>
      </c>
      <c r="BH4" s="7">
        <f ca="1"/>
        <v>1296</v>
      </c>
      <c r="BI4" s="7"/>
      <c r="BJ4" s="7"/>
      <c r="BK4" s="7"/>
      <c r="BL4" s="7"/>
    </row>
    <row r="5" spans="1:65" x14ac:dyDescent="0.25">
      <c r="A5" s="365">
        <v>600</v>
      </c>
      <c r="B5" s="107">
        <v>233</v>
      </c>
      <c r="C5" s="7">
        <v>138</v>
      </c>
      <c r="D5" s="7">
        <v>186</v>
      </c>
      <c r="E5" s="108">
        <v>227</v>
      </c>
      <c r="G5" s="76" t="e">
        <f ca="1"/>
        <v>#NAME?</v>
      </c>
      <c r="H5" s="7" t="e">
        <f ca="1"/>
        <v>#NAME?</v>
      </c>
      <c r="I5" s="7" t="e">
        <f ca="1"/>
        <v>#NAME?</v>
      </c>
      <c r="J5" s="35" t="e">
        <f ca="1"/>
        <v>#NAME?</v>
      </c>
      <c r="L5" s="76" t="e">
        <f ca="1"/>
        <v>#NAME?</v>
      </c>
      <c r="M5" s="7"/>
      <c r="N5" s="35"/>
      <c r="O5" s="76">
        <f t="shared" ref="O5:O6" ca="1" si="0">SUMIF($L$47:$L$82,L5,$O$47:$O$82)</f>
        <v>1296</v>
      </c>
      <c r="P5" s="7" t="e">
        <f t="shared" ref="P5:P6" ca="1" si="1">IF(O5=0,"",AVERAGEIF($G$3:$G$38,$L5,$J$3:$J$38))</f>
        <v>#NAME?</v>
      </c>
      <c r="Q5" s="35" t="e">
        <f t="array" aca="1" ref="Q5" ca="1">IF(O5&lt;2,"",VAR(IF($G$3:$G$38=$L5,$J$3:$J$38,"")))</f>
        <v>#NAME?</v>
      </c>
      <c r="S5" t="s">
        <v>706</v>
      </c>
      <c r="T5" t="e">
        <f ca="1">DEVSQ(P4:P6)*O4</f>
        <v>#NAME?</v>
      </c>
      <c r="U5">
        <f ca="1">COUNT(P4:P6)-1</f>
        <v>-1</v>
      </c>
      <c r="V5" t="e">
        <f t="shared" ref="V5:V11" ca="1" si="2">T5/U5</f>
        <v>#NAME?</v>
      </c>
      <c r="W5" t="e">
        <f ca="1">V5/V7</f>
        <v>#NAME?</v>
      </c>
      <c r="X5" t="e">
        <f ca="1">FDIST(W5,U5,U7)</f>
        <v>#NAME?</v>
      </c>
      <c r="Y5" s="365" t="e">
        <f ca="1">IF(X5&lt;X3,"yes","no")</f>
        <v>#NAME?</v>
      </c>
      <c r="AA5" s="7" t="e">
        <f ca="1"/>
        <v>#NAME?</v>
      </c>
      <c r="AB5" s="257">
        <v>1</v>
      </c>
      <c r="AC5" s="7" t="e">
        <f ca="1"/>
        <v>#NAME?</v>
      </c>
      <c r="AD5" s="7">
        <f ca="1"/>
        <v>1296</v>
      </c>
      <c r="AL5" s="353" t="e">
        <f ca="1"/>
        <v>#NAME?</v>
      </c>
      <c r="AM5" s="355">
        <v>-1</v>
      </c>
      <c r="AN5" s="353" t="e">
        <f ca="1"/>
        <v>#NAME?</v>
      </c>
      <c r="AO5" s="353">
        <f ca="1"/>
        <v>1296</v>
      </c>
      <c r="AW5" s="7" t="e">
        <f ca="1"/>
        <v>#NAME?</v>
      </c>
      <c r="AX5" s="7" t="e">
        <f ca="1"/>
        <v>#NAME?</v>
      </c>
      <c r="AY5" s="7">
        <f ca="1"/>
        <v>1296</v>
      </c>
      <c r="AZ5" s="7"/>
      <c r="BA5" s="7"/>
      <c r="BB5" s="7"/>
      <c r="BC5" s="7"/>
      <c r="BF5" s="353" t="e">
        <f ca="1"/>
        <v>#NAME?</v>
      </c>
      <c r="BG5" s="353" t="e">
        <f ca="1"/>
        <v>#NAME?</v>
      </c>
      <c r="BH5" s="353">
        <f ca="1"/>
        <v>1296</v>
      </c>
      <c r="BI5" s="353"/>
      <c r="BJ5" s="353"/>
      <c r="BK5" s="353"/>
      <c r="BL5" s="353"/>
    </row>
    <row r="6" spans="1:65" x14ac:dyDescent="0.25">
      <c r="A6" s="365">
        <v>620</v>
      </c>
      <c r="B6" s="107">
        <v>175</v>
      </c>
      <c r="C6" s="7">
        <v>152</v>
      </c>
      <c r="D6" s="7">
        <v>155</v>
      </c>
      <c r="E6" s="108">
        <v>156</v>
      </c>
      <c r="G6" s="76" t="e">
        <f ca="1"/>
        <v>#NAME?</v>
      </c>
      <c r="H6" s="7" t="e">
        <f ca="1"/>
        <v>#NAME?</v>
      </c>
      <c r="I6" s="7" t="e">
        <f ca="1"/>
        <v>#NAME?</v>
      </c>
      <c r="J6" s="35" t="e">
        <f ca="1"/>
        <v>#NAME?</v>
      </c>
      <c r="L6" s="76" t="e">
        <f ca="1"/>
        <v>#NAME?</v>
      </c>
      <c r="M6" s="7"/>
      <c r="N6" s="35"/>
      <c r="O6" s="76">
        <f t="shared" ca="1" si="0"/>
        <v>1296</v>
      </c>
      <c r="P6" s="7" t="e">
        <f t="shared" ca="1" si="1"/>
        <v>#NAME?</v>
      </c>
      <c r="Q6" s="35" t="e">
        <f t="array" aca="1" ref="Q6" ca="1">IF(O6&lt;2,"",VAR(IF($G$3:$G$38=$L6,$J$3:$J$38,"")))</f>
        <v>#NAME?</v>
      </c>
      <c r="S6" t="s">
        <v>707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365" t="e">
        <f ca="1">IF(X6&lt;X3,"yes","no")</f>
        <v>#NAME?</v>
      </c>
      <c r="AA6" s="353" t="e">
        <f ca="1"/>
        <v>#NAME?</v>
      </c>
      <c r="AB6" s="355"/>
      <c r="AC6" s="353" t="e">
        <f ca="1"/>
        <v>#NAME?</v>
      </c>
      <c r="AD6" s="353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353" t="e">
        <f ca="1"/>
        <v>#NAME?</v>
      </c>
      <c r="AX6" s="353" t="e">
        <f ca="1"/>
        <v>#NAME?</v>
      </c>
      <c r="AY6" s="353">
        <f ca="1"/>
        <v>1296</v>
      </c>
      <c r="AZ6" s="353"/>
      <c r="BA6" s="353"/>
      <c r="BB6" s="353"/>
      <c r="BC6" s="353"/>
      <c r="BH6">
        <f ca="1">HARMEAN(BH3:BH5)</f>
        <v>1296</v>
      </c>
      <c r="BI6" t="e">
        <f ca="1">SQRT(V9/BH6)</f>
        <v>#NAME?</v>
      </c>
      <c r="BJ6">
        <f ca="1">U9</f>
        <v>1</v>
      </c>
      <c r="BK6" t="e">
        <f ca="1">QCRIT(COUNT(BH3:BH5),BJ6,BJ1,2)</f>
        <v>#NAME?</v>
      </c>
      <c r="BL6" t="e">
        <f ca="1">BI6*BK6</f>
        <v>#NAME?</v>
      </c>
    </row>
    <row r="7" spans="1:65" ht="15.75" thickBot="1" x14ac:dyDescent="0.3">
      <c r="A7" s="365">
        <v>580</v>
      </c>
      <c r="B7" s="389">
        <v>188</v>
      </c>
      <c r="C7" s="351">
        <v>126</v>
      </c>
      <c r="D7" s="351">
        <v>160</v>
      </c>
      <c r="E7" s="391">
        <v>201</v>
      </c>
      <c r="G7" s="76" t="e">
        <f ca="1"/>
        <v>#NAME?</v>
      </c>
      <c r="H7" s="7" t="e">
        <f ca="1"/>
        <v>#NAME?</v>
      </c>
      <c r="I7" s="7" t="e">
        <f ca="1"/>
        <v>#NAME?</v>
      </c>
      <c r="J7" s="35" t="e">
        <f ca="1"/>
        <v>#NAME?</v>
      </c>
      <c r="L7" s="76"/>
      <c r="M7" s="7" t="e">
        <f t="array" aca="1" ref="M7:M9" ca="1">SortUnique(H3:H38)</f>
        <v>#NAME?</v>
      </c>
      <c r="N7" s="35"/>
      <c r="O7" s="76">
        <f ca="1">SUMIF($M$47:$M$82,M7,$O$47:$O$82)</f>
        <v>1296</v>
      </c>
      <c r="P7" s="7" t="e">
        <f ca="1">IF(O7=0,"",AVERAGEIF($H$3:$H$38,$M7,$J$3:$J$38))</f>
        <v>#NAME?</v>
      </c>
      <c r="Q7" s="35" t="e">
        <f t="array" aca="1" ref="Q7" ca="1">IF(O7&lt;2,"",VAR(IF($H$3:$H$38=$M7,$J$3:$J$38,"")))</f>
        <v>#NAME?</v>
      </c>
      <c r="S7" s="353" t="s">
        <v>717</v>
      </c>
      <c r="T7" s="353" t="e">
        <f ca="1">DEVSQ(P23:P34)*O23-T5-T6</f>
        <v>#NAME?</v>
      </c>
      <c r="U7" s="353">
        <f ca="1">U5*U6</f>
        <v>1</v>
      </c>
      <c r="V7" s="353" t="e">
        <f t="shared" ca="1" si="2"/>
        <v>#NAME?</v>
      </c>
      <c r="W7" s="353"/>
      <c r="X7" s="353"/>
      <c r="Y7" s="353"/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42</v>
      </c>
      <c r="AQ7" t="s">
        <v>17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QCRIT(COUNT(AY3:AY6),BA7,BA1,2)</f>
        <v>#NAME?</v>
      </c>
      <c r="BC7" t="e">
        <f ca="1">AZ7*BB7</f>
        <v>#NAME?</v>
      </c>
      <c r="BF7" t="s">
        <v>498</v>
      </c>
    </row>
    <row r="8" spans="1:65" ht="16.5" thickTop="1" thickBot="1" x14ac:dyDescent="0.3">
      <c r="A8" s="365">
        <v>600</v>
      </c>
      <c r="B8" s="107">
        <v>201</v>
      </c>
      <c r="C8" s="7">
        <v>130</v>
      </c>
      <c r="D8" s="7">
        <v>170</v>
      </c>
      <c r="E8" s="108">
        <v>181</v>
      </c>
      <c r="G8" s="76" t="e">
        <f ca="1"/>
        <v>#NAME?</v>
      </c>
      <c r="H8" s="7" t="e">
        <f ca="1"/>
        <v>#NAME?</v>
      </c>
      <c r="I8" s="7" t="e">
        <f ca="1"/>
        <v>#NAME?</v>
      </c>
      <c r="J8" s="35" t="e">
        <f ca="1"/>
        <v>#NAME?</v>
      </c>
      <c r="L8" s="76"/>
      <c r="M8" s="7" t="e">
        <f ca="1"/>
        <v>#NAME?</v>
      </c>
      <c r="N8" s="35"/>
      <c r="O8" s="76">
        <f t="shared" ref="O8:O9" ca="1" si="3">SUMIF($M$47:$M$82,M8,$O$47:$O$82)</f>
        <v>1296</v>
      </c>
      <c r="P8" s="7" t="e">
        <f t="shared" ref="P8:P9" ca="1" si="4">IF(O8=0,"",AVERAGEIF($H$3:$H$38,$M8,$J$3:$J$38))</f>
        <v>#NAME?</v>
      </c>
      <c r="Q8" s="35" t="e">
        <f t="array" aca="1" ref="Q8" ca="1">IF(O8&lt;2,"",VAR(IF($H$3:$H$38=$M8,$J$3:$J$38,"")))</f>
        <v>#NAME?</v>
      </c>
      <c r="S8" t="s">
        <v>709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365" t="e">
        <f ca="1">IF(X8&lt;X3,"yes","no")</f>
        <v>#NAME?</v>
      </c>
      <c r="AA8" t="s">
        <v>42</v>
      </c>
      <c r="AF8" t="s">
        <v>17</v>
      </c>
      <c r="AG8">
        <v>0.05</v>
      </c>
      <c r="AL8" s="191" t="s">
        <v>183</v>
      </c>
      <c r="AM8" s="191" t="s">
        <v>53</v>
      </c>
      <c r="AN8" s="191" t="s">
        <v>37</v>
      </c>
      <c r="AO8" s="191" t="s">
        <v>43</v>
      </c>
      <c r="AP8" s="191" t="s">
        <v>44</v>
      </c>
      <c r="AQ8" s="191" t="s">
        <v>14</v>
      </c>
      <c r="AR8" s="191" t="s">
        <v>15</v>
      </c>
      <c r="AS8" s="191" t="s">
        <v>111</v>
      </c>
      <c r="AT8" s="191" t="s">
        <v>41</v>
      </c>
      <c r="AU8" s="191" t="s">
        <v>192</v>
      </c>
      <c r="AW8" t="s">
        <v>498</v>
      </c>
      <c r="BF8" s="191" t="s">
        <v>827</v>
      </c>
      <c r="BG8" s="191" t="s">
        <v>828</v>
      </c>
      <c r="BH8" s="191" t="s">
        <v>6</v>
      </c>
      <c r="BI8" s="191" t="s">
        <v>497</v>
      </c>
      <c r="BJ8" s="191" t="s">
        <v>14</v>
      </c>
      <c r="BK8" s="191" t="s">
        <v>15</v>
      </c>
      <c r="BL8" s="191" t="s">
        <v>43</v>
      </c>
      <c r="BM8" s="191" t="s">
        <v>41</v>
      </c>
    </row>
    <row r="9" spans="1:65" ht="15.75" thickTop="1" x14ac:dyDescent="0.25">
      <c r="A9" s="365">
        <v>620</v>
      </c>
      <c r="B9" s="52">
        <v>195</v>
      </c>
      <c r="C9" s="353">
        <v>147</v>
      </c>
      <c r="D9" s="353">
        <v>161</v>
      </c>
      <c r="E9" s="56">
        <v>172</v>
      </c>
      <c r="G9" s="76" t="e">
        <f ca="1"/>
        <v>#NAME?</v>
      </c>
      <c r="H9" s="7" t="e">
        <f ca="1"/>
        <v>#NAME?</v>
      </c>
      <c r="I9" s="7" t="e">
        <f ca="1"/>
        <v>#NAME?</v>
      </c>
      <c r="J9" s="35" t="e">
        <f ca="1"/>
        <v>#NAME?</v>
      </c>
      <c r="L9" s="76"/>
      <c r="M9" s="7" t="e">
        <f ca="1"/>
        <v>#NAME?</v>
      </c>
      <c r="N9" s="35"/>
      <c r="O9" s="76">
        <f t="shared" ca="1" si="3"/>
        <v>1296</v>
      </c>
      <c r="P9" s="7" t="e">
        <f t="shared" ca="1" si="4"/>
        <v>#NAME?</v>
      </c>
      <c r="Q9" s="35" t="e">
        <f t="array" aca="1" ref="Q9" ca="1">IF(O9&lt;2,"",VAR(IF($H$3:$H$38=$M9,$J$3:$J$38,"")))</f>
        <v>#NAME?</v>
      </c>
      <c r="S9" t="s">
        <v>710</v>
      </c>
      <c r="T9" t="e">
        <f ca="1">DEVSQ(P35:P46)*O35-T6-T8</f>
        <v>#NAME?</v>
      </c>
      <c r="U9">
        <f ca="1">U6*U8</f>
        <v>1</v>
      </c>
      <c r="V9" t="e">
        <f t="shared" ca="1" si="2"/>
        <v>#NAME?</v>
      </c>
      <c r="W9" t="e">
        <f ca="1">V9/V10</f>
        <v>#NAME?</v>
      </c>
      <c r="X9" t="e">
        <f ca="1">FDIST(W9,U9,U10)</f>
        <v>#NAME?</v>
      </c>
      <c r="Y9" s="365" t="e">
        <f ca="1">IF(X9&lt;X3,"yes","no")</f>
        <v>#NAME?</v>
      </c>
      <c r="AA9" s="191" t="s">
        <v>183</v>
      </c>
      <c r="AB9" s="191" t="s">
        <v>53</v>
      </c>
      <c r="AC9" s="191" t="s">
        <v>37</v>
      </c>
      <c r="AD9" s="191" t="s">
        <v>43</v>
      </c>
      <c r="AE9" s="191" t="s">
        <v>44</v>
      </c>
      <c r="AF9" s="191" t="s">
        <v>14</v>
      </c>
      <c r="AG9" s="191" t="s">
        <v>15</v>
      </c>
      <c r="AH9" s="191" t="s">
        <v>111</v>
      </c>
      <c r="AI9" s="191" t="s">
        <v>41</v>
      </c>
      <c r="AJ9" s="191" t="s">
        <v>192</v>
      </c>
      <c r="AL9" s="392" t="e">
        <f ca="1">SQRT(V9*SUMPRODUCT(AM3:AM5^2,1/AO3:AO5))</f>
        <v>#NAME?</v>
      </c>
      <c r="AM9" s="392" t="e">
        <f ca="1">AN6/AL9</f>
        <v>#NAME?</v>
      </c>
      <c r="AN9" s="392">
        <f ca="1">U9</f>
        <v>1</v>
      </c>
      <c r="AO9" s="392" t="e">
        <f ca="1">TDIST(ABS(AM9),AN9,2)</f>
        <v>#NAME?</v>
      </c>
      <c r="AP9" s="392">
        <f ca="1">TINV(AR7,AN9)</f>
        <v>12.706204736174707</v>
      </c>
      <c r="AQ9" s="392" t="e">
        <f ca="1">AN6-AL9*AP9</f>
        <v>#NAME?</v>
      </c>
      <c r="AR9" s="392" t="e">
        <f ca="1">AN6+AL9*AP9</f>
        <v>#NAME?</v>
      </c>
      <c r="AS9" s="393" t="e">
        <f ca="1">IF(AO9&lt;AR7,"yes","no")</f>
        <v>#NAME?</v>
      </c>
      <c r="AT9" s="392" t="e">
        <f ca="1">ABS(AN6)/SQRT(V9)</f>
        <v>#NAME?</v>
      </c>
      <c r="AU9" s="392" t="e">
        <f ca="1">SQRT(AM9^2/(AM9^2+AN9))</f>
        <v>#NAME?</v>
      </c>
      <c r="AW9" s="191" t="s">
        <v>827</v>
      </c>
      <c r="AX9" s="191" t="s">
        <v>828</v>
      </c>
      <c r="AY9" s="191" t="s">
        <v>6</v>
      </c>
      <c r="AZ9" s="191" t="s">
        <v>497</v>
      </c>
      <c r="BA9" s="191" t="s">
        <v>14</v>
      </c>
      <c r="BB9" s="191" t="s">
        <v>15</v>
      </c>
      <c r="BC9" s="191" t="s">
        <v>43</v>
      </c>
      <c r="BD9" s="191" t="s">
        <v>41</v>
      </c>
      <c r="BF9" s="351" t="e">
        <f ca="1">BF3</f>
        <v>#NAME?</v>
      </c>
      <c r="BG9" s="351" t="e">
        <f ca="1">BF4</f>
        <v>#NAME?</v>
      </c>
      <c r="BH9" s="351" t="e">
        <f ca="1">ABS(BG3-BG4)</f>
        <v>#NAME?</v>
      </c>
      <c r="BI9" s="351" t="e">
        <f ca="1">BH9/BI$6</f>
        <v>#NAME?</v>
      </c>
      <c r="BJ9" s="351" t="e">
        <f ca="1">BH9-BL$6</f>
        <v>#NAME?</v>
      </c>
      <c r="BK9" s="351" t="e">
        <f ca="1">BH9+BL$6</f>
        <v>#NAME?</v>
      </c>
      <c r="BL9" s="351" t="e">
        <f ca="1">QDIST(BI9,COUNT(BH$3:BH$5),BJ$6)</f>
        <v>#NAME?</v>
      </c>
      <c r="BM9" s="351" t="e">
        <f ca="1">ABS(BH9)/SQRT(V$9)</f>
        <v>#NAME?</v>
      </c>
    </row>
    <row r="10" spans="1:65" x14ac:dyDescent="0.25">
      <c r="A10" s="365">
        <v>580</v>
      </c>
      <c r="B10" s="107">
        <v>162</v>
      </c>
      <c r="C10" s="7">
        <v>122</v>
      </c>
      <c r="D10" s="7">
        <v>167</v>
      </c>
      <c r="E10" s="108">
        <v>182</v>
      </c>
      <c r="G10" s="76" t="e">
        <f ca="1"/>
        <v>#NAME?</v>
      </c>
      <c r="H10" s="7" t="e">
        <f ca="1"/>
        <v>#NAME?</v>
      </c>
      <c r="I10" s="7" t="e">
        <f ca="1"/>
        <v>#NAME?</v>
      </c>
      <c r="J10" s="35" t="e">
        <f ca="1"/>
        <v>#NAME?</v>
      </c>
      <c r="L10" s="76"/>
      <c r="M10" s="7"/>
      <c r="N10" s="35" t="e">
        <f t="array" aca="1" ref="N10:N13" ca="1">SortUnique(I3:I38)</f>
        <v>#NAME?</v>
      </c>
      <c r="O10" s="76">
        <f ca="1">SUMIF($N$47:$N$82,N10,$O$47:$O$82)</f>
        <v>1296</v>
      </c>
      <c r="P10" s="7" t="e">
        <f ca="1">IF(O10=0,"",AVERAGEIF($I$3:$I$38,$N10,$J$3:$J$38))</f>
        <v>#NAME?</v>
      </c>
      <c r="Q10" s="35" t="e">
        <f t="array" aca="1" ref="Q10" ca="1">IF(O10&lt;2,"",VAR(IF($I$3:$I$38=$N10,$J$3:$J$38,"")))</f>
        <v>#NAME?</v>
      </c>
      <c r="S10" t="s">
        <v>711</v>
      </c>
      <c r="T10" t="e">
        <f ca="1">T11-SUM(T5:T9)</f>
        <v>#NAME?</v>
      </c>
      <c r="U10">
        <f ca="1">U11-SUM(U5:U9)</f>
        <v>1296</v>
      </c>
      <c r="V10" t="e">
        <f t="shared" ca="1" si="2"/>
        <v>#NAME?</v>
      </c>
      <c r="AA10" s="392" t="e">
        <f ca="1">SQRT(V7*SUMPRODUCT(AB3:AB6^2,1/AD3:AD6))</f>
        <v>#NAME?</v>
      </c>
      <c r="AB10" s="392" t="e">
        <f ca="1">AC7/AA10</f>
        <v>#NAME?</v>
      </c>
      <c r="AC10" s="392">
        <f ca="1">U7</f>
        <v>1</v>
      </c>
      <c r="AD10" s="392" t="e">
        <f ca="1">TDIST(ABS(AB10),AC10,2)</f>
        <v>#NAME?</v>
      </c>
      <c r="AE10" s="392">
        <f ca="1">TINV(AG8,AC10)</f>
        <v>12.706204736174707</v>
      </c>
      <c r="AF10" s="392" t="e">
        <f ca="1">AC7-AA10*AE10</f>
        <v>#NAME?</v>
      </c>
      <c r="AG10" s="392" t="e">
        <f ca="1">AC7+AA10*AE10</f>
        <v>#NAME?</v>
      </c>
      <c r="AH10" s="393" t="e">
        <f ca="1">IF(AD10&lt;AG8,"yes","no")</f>
        <v>#NAME?</v>
      </c>
      <c r="AI10" s="392" t="e">
        <f ca="1">ABS(AC7)/SQRT(V7)</f>
        <v>#NAME?</v>
      </c>
      <c r="AJ10" s="392" t="e">
        <f ca="1">SQRT(AB10^2/(AB10^2+AC10))</f>
        <v>#NAME?</v>
      </c>
      <c r="AW10" s="351" t="e">
        <f ca="1">AW3</f>
        <v>#NAME?</v>
      </c>
      <c r="AX10" s="351" t="e">
        <f ca="1">AW4</f>
        <v>#NAME?</v>
      </c>
      <c r="AY10" s="351" t="e">
        <f ca="1">ABS(AX3-AX4)</f>
        <v>#NAME?</v>
      </c>
      <c r="AZ10" s="351" t="e">
        <f ca="1">AY10/AZ$7</f>
        <v>#NAME?</v>
      </c>
      <c r="BA10" s="351" t="e">
        <f ca="1">AY10-BC$7</f>
        <v>#NAME?</v>
      </c>
      <c r="BB10" s="351" t="e">
        <f ca="1">AY10+BC$7</f>
        <v>#NAME?</v>
      </c>
      <c r="BC10" s="351" t="e">
        <f ca="1">QDIST(AZ10,COUNT(AY$3:AY$6),BA$7)</f>
        <v>#NAME?</v>
      </c>
      <c r="BD10" s="351" t="e">
        <f ca="1">ABS(AY10)/SQRT(V$7)</f>
        <v>#NAME?</v>
      </c>
      <c r="BF10" s="7" t="e">
        <f ca="1">BF3</f>
        <v>#NAME?</v>
      </c>
      <c r="BG10" s="7" t="e">
        <f ca="1">BF5</f>
        <v>#NAME?</v>
      </c>
      <c r="BH10" s="7" t="e">
        <f ca="1">ABS(BG3-BG5)</f>
        <v>#NAME?</v>
      </c>
      <c r="BI10" s="7" t="e">
        <f t="shared" ref="BI10:BI11" ca="1" si="5">BH10/BI$6</f>
        <v>#NAME?</v>
      </c>
      <c r="BJ10" s="7" t="e">
        <f t="shared" ref="BJ10:BJ11" ca="1" si="6">BH10-BL$6</f>
        <v>#NAME?</v>
      </c>
      <c r="BK10" s="7" t="e">
        <f t="shared" ref="BK10:BK11" ca="1" si="7">BH10+BL$6</f>
        <v>#NAME?</v>
      </c>
      <c r="BL10" s="7" t="e">
        <f ca="1">QDIST(BI10,COUNT(BH$3:BH$5),BJ$6)</f>
        <v>#NAME?</v>
      </c>
      <c r="BM10" s="7" t="e">
        <f t="shared" ref="BM10:BM11" ca="1" si="8">ABS(BH10)/SQRT(V$9)</f>
        <v>#NAME?</v>
      </c>
    </row>
    <row r="11" spans="1:65" x14ac:dyDescent="0.25">
      <c r="A11" s="365">
        <v>600</v>
      </c>
      <c r="B11" s="107">
        <v>170</v>
      </c>
      <c r="C11" s="7">
        <v>185</v>
      </c>
      <c r="D11" s="7">
        <v>181</v>
      </c>
      <c r="E11" s="108">
        <v>201</v>
      </c>
      <c r="G11" s="76" t="e">
        <f ca="1"/>
        <v>#NAME?</v>
      </c>
      <c r="H11" s="7" t="e">
        <f ca="1"/>
        <v>#NAME?</v>
      </c>
      <c r="I11" s="7" t="e">
        <f ca="1"/>
        <v>#NAME?</v>
      </c>
      <c r="J11" s="35" t="e">
        <f ca="1"/>
        <v>#NAME?</v>
      </c>
      <c r="L11" s="76"/>
      <c r="M11" s="7"/>
      <c r="N11" s="35" t="e">
        <f ca="1"/>
        <v>#NAME?</v>
      </c>
      <c r="O11" s="76">
        <f t="shared" ref="O11:O13" ca="1" si="9">SUMIF($N$47:$N$82,N11,$O$47:$O$82)</f>
        <v>1296</v>
      </c>
      <c r="P11" s="7" t="e">
        <f t="shared" ref="P11:P13" ca="1" si="10">IF(O11=0,"",AVERAGEIF($I$3:$I$38,$N11,$J$3:$J$38))</f>
        <v>#NAME?</v>
      </c>
      <c r="Q11" s="35" t="e">
        <f t="array" aca="1" ref="Q11" ca="1">IF(O11&lt;2,"",VAR(IF($I$3:$I$38=$N11,$J$3:$J$38,"")))</f>
        <v>#NAME?</v>
      </c>
      <c r="S11" s="353" t="s">
        <v>1</v>
      </c>
      <c r="T11" s="353" t="e">
        <f ca="1">Q83*U11</f>
        <v>#NAME?</v>
      </c>
      <c r="U11" s="353">
        <f ca="1">O83-1</f>
        <v>1295</v>
      </c>
      <c r="V11" s="353" t="e">
        <f t="shared" ca="1" si="2"/>
        <v>#NAME?</v>
      </c>
      <c r="W11" s="353"/>
      <c r="X11" s="353"/>
      <c r="Y11" s="353"/>
      <c r="AW11" s="7" t="e">
        <f ca="1">AW3</f>
        <v>#NAME?</v>
      </c>
      <c r="AX11" s="7" t="e">
        <f ca="1">AW5</f>
        <v>#NAME?</v>
      </c>
      <c r="AY11" s="7" t="e">
        <f ca="1">ABS(AX3-AX5)</f>
        <v>#NAME?</v>
      </c>
      <c r="AZ11" s="7" t="e">
        <f t="shared" ref="AZ11:AZ15" ca="1" si="11">AY11/AZ$7</f>
        <v>#NAME?</v>
      </c>
      <c r="BA11" s="7" t="e">
        <f t="shared" ref="BA11:BA15" ca="1" si="12">AY11-BC$7</f>
        <v>#NAME?</v>
      </c>
      <c r="BB11" s="7" t="e">
        <f t="shared" ref="BB11:BB15" ca="1" si="13">AY11+BC$7</f>
        <v>#NAME?</v>
      </c>
      <c r="BC11" s="7" t="e">
        <f ca="1">QDIST(AZ11,COUNT(AY$3:AY$6),BA$7)</f>
        <v>#NAME?</v>
      </c>
      <c r="BD11" s="7" t="e">
        <f t="shared" ref="BD11:BD15" ca="1" si="14">ABS(AY11)/SQRT(V$7)</f>
        <v>#NAME?</v>
      </c>
      <c r="BF11" s="353" t="e">
        <f ca="1">BF4</f>
        <v>#NAME?</v>
      </c>
      <c r="BG11" s="353" t="e">
        <f ca="1">BF5</f>
        <v>#NAME?</v>
      </c>
      <c r="BH11" s="353" t="e">
        <f ca="1">ABS(BG4-BG5)</f>
        <v>#NAME?</v>
      </c>
      <c r="BI11" s="353" t="e">
        <f t="shared" ca="1" si="5"/>
        <v>#NAME?</v>
      </c>
      <c r="BJ11" s="353" t="e">
        <f t="shared" ca="1" si="6"/>
        <v>#NAME?</v>
      </c>
      <c r="BK11" s="353" t="e">
        <f t="shared" ca="1" si="7"/>
        <v>#NAME?</v>
      </c>
      <c r="BL11" s="353" t="e">
        <f ca="1">QDIST(BI11,COUNT(BH$3:BH$5),BJ$6)</f>
        <v>#NAME?</v>
      </c>
      <c r="BM11" s="353" t="e">
        <f t="shared" ca="1" si="8"/>
        <v>#NAME?</v>
      </c>
    </row>
    <row r="12" spans="1:65" x14ac:dyDescent="0.25">
      <c r="A12" s="365">
        <v>620</v>
      </c>
      <c r="B12" s="52">
        <v>213</v>
      </c>
      <c r="C12" s="353">
        <v>180</v>
      </c>
      <c r="D12" s="353">
        <v>182</v>
      </c>
      <c r="E12" s="56">
        <v>199</v>
      </c>
      <c r="G12" s="76" t="e">
        <f ca="1"/>
        <v>#NAME?</v>
      </c>
      <c r="H12" s="7" t="e">
        <f ca="1"/>
        <v>#NAME?</v>
      </c>
      <c r="I12" s="7" t="e">
        <f ca="1"/>
        <v>#NAME?</v>
      </c>
      <c r="J12" s="35" t="e">
        <f ca="1"/>
        <v>#NAME?</v>
      </c>
      <c r="L12" s="76"/>
      <c r="M12" s="7"/>
      <c r="N12" s="35" t="e">
        <f ca="1"/>
        <v>#NAME?</v>
      </c>
      <c r="O12" s="76">
        <f t="shared" ca="1" si="9"/>
        <v>1296</v>
      </c>
      <c r="P12" s="7" t="e">
        <f t="shared" ca="1" si="10"/>
        <v>#NAME?</v>
      </c>
      <c r="Q12" s="35" t="e">
        <f t="array" aca="1" ref="Q12" ca="1">IF(O12&lt;2,"",VAR(IF($I$3:$I$38=$N12,$J$3:$J$38,"")))</f>
        <v>#NAME?</v>
      </c>
      <c r="AW12" s="7" t="e">
        <f ca="1">AW3</f>
        <v>#NAME?</v>
      </c>
      <c r="AX12" s="7" t="e">
        <f ca="1">AW6</f>
        <v>#NAME?</v>
      </c>
      <c r="AY12" s="7" t="e">
        <f ca="1">ABS(AX3-AX6)</f>
        <v>#NAME?</v>
      </c>
      <c r="AZ12" s="7" t="e">
        <f t="shared" ca="1" si="11"/>
        <v>#NAME?</v>
      </c>
      <c r="BA12" s="7" t="e">
        <f t="shared" ca="1" si="12"/>
        <v>#NAME?</v>
      </c>
      <c r="BB12" s="7" t="e">
        <f t="shared" ca="1" si="13"/>
        <v>#NAME?</v>
      </c>
      <c r="BC12" s="7" t="e">
        <f ca="1">QDIST(AZ12,COUNT(AY$3:AY$6),BA$7)</f>
        <v>#NAME?</v>
      </c>
      <c r="BD12" s="7" t="e">
        <f t="shared" ca="1" si="14"/>
        <v>#NAME?</v>
      </c>
    </row>
    <row r="13" spans="1:65" x14ac:dyDescent="0.25">
      <c r="G13" s="76" t="e">
        <f ca="1"/>
        <v>#NAME?</v>
      </c>
      <c r="H13" s="7" t="e">
        <f ca="1"/>
        <v>#NAME?</v>
      </c>
      <c r="I13" s="7" t="e">
        <f ca="1"/>
        <v>#NAME?</v>
      </c>
      <c r="J13" s="35" t="e">
        <f ca="1"/>
        <v>#NAME?</v>
      </c>
      <c r="L13" s="348"/>
      <c r="M13" s="349"/>
      <c r="N13" s="350" t="e">
        <f ca="1"/>
        <v>#NAME?</v>
      </c>
      <c r="O13" s="348">
        <f t="shared" ca="1" si="9"/>
        <v>1296</v>
      </c>
      <c r="P13" s="349" t="e">
        <f t="shared" ca="1" si="10"/>
        <v>#NAME?</v>
      </c>
      <c r="Q13" s="350" t="e">
        <f t="array" aca="1" ref="Q13" ca="1">IF(O13&lt;2,"",VAR(IF($I$3:$I$38=$N13,$J$3:$J$38,"")))</f>
        <v>#NAME?</v>
      </c>
      <c r="AW13" s="7" t="e">
        <f ca="1">AW4</f>
        <v>#NAME?</v>
      </c>
      <c r="AX13" s="7" t="e">
        <f ca="1">AW5</f>
        <v>#NAME?</v>
      </c>
      <c r="AY13" s="7" t="e">
        <f ca="1">ABS(AX4-AX5)</f>
        <v>#NAME?</v>
      </c>
      <c r="AZ13" s="7" t="e">
        <f t="shared" ca="1" si="11"/>
        <v>#NAME?</v>
      </c>
      <c r="BA13" s="7" t="e">
        <f t="shared" ca="1" si="12"/>
        <v>#NAME?</v>
      </c>
      <c r="BB13" s="7" t="e">
        <f t="shared" ca="1" si="13"/>
        <v>#NAME?</v>
      </c>
      <c r="BC13" s="7" t="e">
        <f ca="1">QDIST(AZ13,COUNT(AY$3:AY$6),BA$7)</f>
        <v>#NAME?</v>
      </c>
      <c r="BD13" s="7" t="e">
        <f t="shared" ca="1" si="14"/>
        <v>#NAME?</v>
      </c>
    </row>
    <row r="14" spans="1:65" x14ac:dyDescent="0.25">
      <c r="G14" s="76" t="e">
        <f ca="1"/>
        <v>#NAME?</v>
      </c>
      <c r="H14" s="7" t="e">
        <f ca="1"/>
        <v>#NAME?</v>
      </c>
      <c r="I14" s="7" t="e">
        <f ca="1"/>
        <v>#NAME?</v>
      </c>
      <c r="J14" s="35" t="e">
        <f ca="1"/>
        <v>#NAME?</v>
      </c>
      <c r="L14" s="394" t="e">
        <f ca="1">$L$4</f>
        <v>#NAME?</v>
      </c>
      <c r="M14" s="395" t="e">
        <f ca="1">$M7</f>
        <v>#NAME?</v>
      </c>
      <c r="N14" s="396"/>
      <c r="O14" s="394">
        <f ca="1">SUMIFS($O$47:$O$82,$L$47:$L$82,L14,$M$47:$M$82,M14)</f>
        <v>1296</v>
      </c>
      <c r="P14" s="395" t="e">
        <f ca="1">IF(O14=0,"",AVERAGEIFS($J$3:$J$38,$G$3:$G$38,$L14,$H$3:$H$38,$M14))</f>
        <v>#NAME?</v>
      </c>
      <c r="Q14" s="396" t="e">
        <f t="array" aca="1" ref="Q14" ca="1">IF(O14&lt;2,"",VAR(IF($G$3:$G$38=$L14,IF($H$3:$H$38=$M14,$J$3:$J$38,""))))</f>
        <v>#NAME?</v>
      </c>
      <c r="AW14" s="7" t="e">
        <f ca="1">AW4</f>
        <v>#NAME?</v>
      </c>
      <c r="AX14" s="7" t="e">
        <f ca="1">AW6</f>
        <v>#NAME?</v>
      </c>
      <c r="AY14" s="7" t="e">
        <f ca="1">ABS(AX4-AX6)</f>
        <v>#NAME?</v>
      </c>
      <c r="AZ14" s="7" t="e">
        <f t="shared" ca="1" si="11"/>
        <v>#NAME?</v>
      </c>
      <c r="BA14" s="7" t="e">
        <f t="shared" ca="1" si="12"/>
        <v>#NAME?</v>
      </c>
      <c r="BB14" s="7" t="e">
        <f t="shared" ca="1" si="13"/>
        <v>#NAME?</v>
      </c>
      <c r="BC14" s="7" t="e">
        <f ca="1">QDIST(AZ14,COUNT(AY$3:AY$6),BA$7)</f>
        <v>#NAME?</v>
      </c>
      <c r="BD14" s="7" t="e">
        <f t="shared" ca="1" si="14"/>
        <v>#NAME?</v>
      </c>
    </row>
    <row r="15" spans="1:65" x14ac:dyDescent="0.25">
      <c r="G15" s="76" t="e">
        <f ca="1"/>
        <v>#NAME?</v>
      </c>
      <c r="H15" s="7" t="e">
        <f ca="1"/>
        <v>#NAME?</v>
      </c>
      <c r="I15" s="7" t="e">
        <f ca="1"/>
        <v>#NAME?</v>
      </c>
      <c r="J15" s="35" t="e">
        <f ca="1"/>
        <v>#NAME?</v>
      </c>
      <c r="L15" s="76" t="e">
        <f t="shared" ref="L15:L16" ca="1" si="15">$L$4</f>
        <v>#NAME?</v>
      </c>
      <c r="M15" s="7" t="e">
        <f t="shared" ref="M15:M16" ca="1" si="16">$M8</f>
        <v>#NAME?</v>
      </c>
      <c r="N15" s="35"/>
      <c r="O15" s="76">
        <f t="shared" ref="O15:O22" ca="1" si="17">SUMIFS($O$47:$O$82,$L$47:$L$82,L15,$M$47:$M$82,M15)</f>
        <v>1296</v>
      </c>
      <c r="P15" s="7" t="e">
        <f t="shared" ref="P15:P22" ca="1" si="18">IF(O15=0,"",AVERAGEIFS($J$3:$J$38,$G$3:$G$38,$L15,$H$3:$H$38,$M15))</f>
        <v>#NAME?</v>
      </c>
      <c r="Q15" s="35" t="e">
        <f t="array" aca="1" ref="Q15" ca="1">IF(O15&lt;2,"",VAR(IF($G$3:$G$38=$L15,IF($H$3:$H$38=$M15,$J$3:$J$38,""))))</f>
        <v>#NAME?</v>
      </c>
      <c r="AW15" s="353" t="e">
        <f ca="1">AW5</f>
        <v>#NAME?</v>
      </c>
      <c r="AX15" s="353" t="e">
        <f ca="1">AW6</f>
        <v>#NAME?</v>
      </c>
      <c r="AY15" s="353" t="e">
        <f ca="1">ABS(AX5-AX6)</f>
        <v>#NAME?</v>
      </c>
      <c r="AZ15" s="353" t="e">
        <f t="shared" ca="1" si="11"/>
        <v>#NAME?</v>
      </c>
      <c r="BA15" s="353" t="e">
        <f t="shared" ca="1" si="12"/>
        <v>#NAME?</v>
      </c>
      <c r="BB15" s="353" t="e">
        <f t="shared" ca="1" si="13"/>
        <v>#NAME?</v>
      </c>
      <c r="BC15" s="353" t="e">
        <f ca="1">QDIST(AZ15,COUNT(AY$3:AY$6),BA$7)</f>
        <v>#NAME?</v>
      </c>
      <c r="BD15" s="353" t="e">
        <f t="shared" ca="1" si="14"/>
        <v>#NAME?</v>
      </c>
    </row>
    <row r="16" spans="1:65" x14ac:dyDescent="0.25">
      <c r="G16" s="76" t="e">
        <f ca="1"/>
        <v>#NAME?</v>
      </c>
      <c r="H16" s="7" t="e">
        <f ca="1"/>
        <v>#NAME?</v>
      </c>
      <c r="I16" s="7" t="e">
        <f ca="1"/>
        <v>#NAME?</v>
      </c>
      <c r="J16" s="35" t="e">
        <f ca="1"/>
        <v>#NAME?</v>
      </c>
      <c r="L16" s="76" t="e">
        <f t="shared" ca="1" si="15"/>
        <v>#NAME?</v>
      </c>
      <c r="M16" s="7" t="e">
        <f t="shared" ca="1" si="16"/>
        <v>#NAME?</v>
      </c>
      <c r="N16" s="35"/>
      <c r="O16" s="76">
        <f t="shared" ca="1" si="17"/>
        <v>1296</v>
      </c>
      <c r="P16" s="7" t="e">
        <f t="shared" ca="1" si="18"/>
        <v>#NAME?</v>
      </c>
      <c r="Q16" s="35" t="e">
        <f t="array" aca="1" ref="Q16" ca="1">IF(O16&lt;2,"",VAR(IF($G$3:$G$38=$L16,IF($H$3:$H$38=$M16,$J$3:$J$38,""))))</f>
        <v>#NAME?</v>
      </c>
    </row>
    <row r="17" spans="7:17" x14ac:dyDescent="0.25">
      <c r="G17" s="76" t="e">
        <f ca="1"/>
        <v>#NAME?</v>
      </c>
      <c r="H17" s="7" t="e">
        <f ca="1"/>
        <v>#NAME?</v>
      </c>
      <c r="I17" s="7" t="e">
        <f ca="1"/>
        <v>#NAME?</v>
      </c>
      <c r="J17" s="35" t="e">
        <f ca="1"/>
        <v>#NAME?</v>
      </c>
      <c r="L17" s="76" t="e">
        <f ca="1">$L$5</f>
        <v>#NAME?</v>
      </c>
      <c r="M17" s="7" t="e">
        <f ca="1">$M7</f>
        <v>#NAME?</v>
      </c>
      <c r="N17" s="35"/>
      <c r="O17" s="76">
        <f t="shared" ca="1" si="17"/>
        <v>1296</v>
      </c>
      <c r="P17" s="7" t="e">
        <f t="shared" ca="1" si="18"/>
        <v>#NAME?</v>
      </c>
      <c r="Q17" s="35" t="e">
        <f t="array" aca="1" ref="Q17" ca="1">IF(O17&lt;2,"",VAR(IF($G$3:$G$38=$L17,IF($H$3:$H$38=$M17,$J$3:$J$38,""))))</f>
        <v>#NAME?</v>
      </c>
    </row>
    <row r="18" spans="7:17" x14ac:dyDescent="0.25">
      <c r="G18" s="76" t="e">
        <f ca="1"/>
        <v>#NAME?</v>
      </c>
      <c r="H18" s="7" t="e">
        <f ca="1"/>
        <v>#NAME?</v>
      </c>
      <c r="I18" s="7" t="e">
        <f ca="1"/>
        <v>#NAME?</v>
      </c>
      <c r="J18" s="35" t="e">
        <f ca="1"/>
        <v>#NAME?</v>
      </c>
      <c r="L18" s="76" t="e">
        <f t="shared" ref="L18:L19" ca="1" si="19">$L$5</f>
        <v>#NAME?</v>
      </c>
      <c r="M18" s="7" t="e">
        <f t="shared" ref="M18:M19" ca="1" si="20">$M8</f>
        <v>#NAME?</v>
      </c>
      <c r="N18" s="35"/>
      <c r="O18" s="76">
        <f t="shared" ca="1" si="17"/>
        <v>1296</v>
      </c>
      <c r="P18" s="7" t="e">
        <f t="shared" ca="1" si="18"/>
        <v>#NAME?</v>
      </c>
      <c r="Q18" s="35" t="e">
        <f t="array" aca="1" ref="Q18" ca="1">IF(O18&lt;2,"",VAR(IF($G$3:$G$38=$L18,IF($H$3:$H$38=$M18,$J$3:$J$38,""))))</f>
        <v>#NAME?</v>
      </c>
    </row>
    <row r="19" spans="7:17" x14ac:dyDescent="0.25">
      <c r="G19" s="76" t="e">
        <f ca="1"/>
        <v>#NAME?</v>
      </c>
      <c r="H19" s="7" t="e">
        <f ca="1"/>
        <v>#NAME?</v>
      </c>
      <c r="I19" s="7" t="e">
        <f ca="1"/>
        <v>#NAME?</v>
      </c>
      <c r="J19" s="35" t="e">
        <f ca="1"/>
        <v>#NAME?</v>
      </c>
      <c r="L19" s="76" t="e">
        <f t="shared" ca="1" si="19"/>
        <v>#NAME?</v>
      </c>
      <c r="M19" s="7" t="e">
        <f t="shared" ca="1" si="20"/>
        <v>#NAME?</v>
      </c>
      <c r="N19" s="35"/>
      <c r="O19" s="76">
        <f t="shared" ca="1" si="17"/>
        <v>1296</v>
      </c>
      <c r="P19" s="7" t="e">
        <f t="shared" ca="1" si="18"/>
        <v>#NAME?</v>
      </c>
      <c r="Q19" s="35" t="e">
        <f t="array" aca="1" ref="Q19" ca="1">IF(O19&lt;2,"",VAR(IF($G$3:$G$38=$L19,IF($H$3:$H$38=$M19,$J$3:$J$38,""))))</f>
        <v>#NAME?</v>
      </c>
    </row>
    <row r="20" spans="7:17" x14ac:dyDescent="0.25">
      <c r="G20" s="76" t="e">
        <f ca="1"/>
        <v>#NAME?</v>
      </c>
      <c r="H20" s="7" t="e">
        <f ca="1"/>
        <v>#NAME?</v>
      </c>
      <c r="I20" s="7" t="e">
        <f ca="1"/>
        <v>#NAME?</v>
      </c>
      <c r="J20" s="35" t="e">
        <f ca="1"/>
        <v>#NAME?</v>
      </c>
      <c r="L20" s="76" t="e">
        <f ca="1">$L$6</f>
        <v>#NAME?</v>
      </c>
      <c r="M20" s="7" t="e">
        <f ca="1">$M7</f>
        <v>#NAME?</v>
      </c>
      <c r="N20" s="35"/>
      <c r="O20" s="76">
        <f t="shared" ca="1" si="17"/>
        <v>1296</v>
      </c>
      <c r="P20" s="7" t="e">
        <f t="shared" ca="1" si="18"/>
        <v>#NAME?</v>
      </c>
      <c r="Q20" s="35" t="e">
        <f t="array" aca="1" ref="Q20" ca="1">IF(O20&lt;2,"",VAR(IF($G$3:$G$38=$L20,IF($H$3:$H$38=$M20,$J$3:$J$38,""))))</f>
        <v>#NAME?</v>
      </c>
    </row>
    <row r="21" spans="7:17" x14ac:dyDescent="0.25">
      <c r="G21" s="76" t="e">
        <f ca="1"/>
        <v>#NAME?</v>
      </c>
      <c r="H21" s="7" t="e">
        <f ca="1"/>
        <v>#NAME?</v>
      </c>
      <c r="I21" s="7" t="e">
        <f ca="1"/>
        <v>#NAME?</v>
      </c>
      <c r="J21" s="35" t="e">
        <f ca="1"/>
        <v>#NAME?</v>
      </c>
      <c r="L21" s="76" t="e">
        <f t="shared" ref="L21:L22" ca="1" si="21">$L$6</f>
        <v>#NAME?</v>
      </c>
      <c r="M21" s="7" t="e">
        <f t="shared" ref="M21:M22" ca="1" si="22">$M8</f>
        <v>#NAME?</v>
      </c>
      <c r="N21" s="35"/>
      <c r="O21" s="76">
        <f t="shared" ca="1" si="17"/>
        <v>1296</v>
      </c>
      <c r="P21" s="7" t="e">
        <f t="shared" ca="1" si="18"/>
        <v>#NAME?</v>
      </c>
      <c r="Q21" s="35" t="e">
        <f t="array" aca="1" ref="Q21" ca="1">IF(O21&lt;2,"",VAR(IF($G$3:$G$38=$L21,IF($H$3:$H$38=$M21,$J$3:$J$38,""))))</f>
        <v>#NAME?</v>
      </c>
    </row>
    <row r="22" spans="7:17" x14ac:dyDescent="0.25">
      <c r="G22" s="76" t="e">
        <f ca="1"/>
        <v>#NAME?</v>
      </c>
      <c r="H22" s="7" t="e">
        <f ca="1"/>
        <v>#NAME?</v>
      </c>
      <c r="I22" s="7" t="e">
        <f ca="1"/>
        <v>#NAME?</v>
      </c>
      <c r="J22" s="35" t="e">
        <f ca="1"/>
        <v>#NAME?</v>
      </c>
      <c r="L22" s="348" t="e">
        <f t="shared" ca="1" si="21"/>
        <v>#NAME?</v>
      </c>
      <c r="M22" s="349" t="e">
        <f t="shared" ca="1" si="22"/>
        <v>#NAME?</v>
      </c>
      <c r="N22" s="350"/>
      <c r="O22" s="348">
        <f t="shared" ca="1" si="17"/>
        <v>1296</v>
      </c>
      <c r="P22" s="349" t="e">
        <f t="shared" ca="1" si="18"/>
        <v>#NAME?</v>
      </c>
      <c r="Q22" s="350" t="e">
        <f t="array" aca="1" ref="Q22" ca="1">IF(O22&lt;2,"",VAR(IF($G$3:$G$38=$L22,IF($H$3:$H$38=$M22,$J$3:$J$38,""))))</f>
        <v>#NAME?</v>
      </c>
    </row>
    <row r="23" spans="7:17" x14ac:dyDescent="0.25">
      <c r="G23" s="76" t="e">
        <f ca="1"/>
        <v>#NAME?</v>
      </c>
      <c r="H23" s="7" t="e">
        <f ca="1"/>
        <v>#NAME?</v>
      </c>
      <c r="I23" s="7" t="e">
        <f ca="1"/>
        <v>#NAME?</v>
      </c>
      <c r="J23" s="35" t="e">
        <f ca="1"/>
        <v>#NAME?</v>
      </c>
      <c r="L23" s="394" t="e">
        <f ca="1">$L$4</f>
        <v>#NAME?</v>
      </c>
      <c r="M23" s="395"/>
      <c r="N23" s="396" t="e">
        <f ca="1">$N10</f>
        <v>#NAME?</v>
      </c>
      <c r="O23" s="394">
        <f ca="1">SUMIFS($O$47:$O$82,$L$47:$L$82,L23,$N$47:$N$82,N23)</f>
        <v>1296</v>
      </c>
      <c r="P23" s="395" t="e">
        <f ca="1">IF(O23=0,"",AVERAGEIFS($J$3:$J$38,$G$3:$G$38,$L23,$I$3:$I$38,$N23))</f>
        <v>#NAME?</v>
      </c>
      <c r="Q23" s="396" t="e">
        <f t="array" aca="1" ref="Q23" ca="1">IF(O23&lt;2,"",VAR(IF($G$3:$G$38=$L23,IF($I$3:$I$38=$N23,$J$3:$J$38,""))))</f>
        <v>#NAME?</v>
      </c>
    </row>
    <row r="24" spans="7:17" x14ac:dyDescent="0.25">
      <c r="G24" s="76" t="e">
        <f ca="1"/>
        <v>#NAME?</v>
      </c>
      <c r="H24" s="7" t="e">
        <f ca="1"/>
        <v>#NAME?</v>
      </c>
      <c r="I24" s="7" t="e">
        <f ca="1"/>
        <v>#NAME?</v>
      </c>
      <c r="J24" s="35" t="e">
        <f ca="1"/>
        <v>#NAME?</v>
      </c>
      <c r="L24" s="76" t="e">
        <f t="shared" ref="L24:L26" ca="1" si="23">$L$4</f>
        <v>#NAME?</v>
      </c>
      <c r="M24" s="7"/>
      <c r="N24" s="35" t="e">
        <f t="shared" ref="N24:N26" ca="1" si="24">$N11</f>
        <v>#NAME?</v>
      </c>
      <c r="O24" s="76">
        <f t="shared" ref="O24:O34" ca="1" si="25">SUMIFS($O$47:$O$82,$L$47:$L$82,L24,$N$47:$N$82,N24)</f>
        <v>1296</v>
      </c>
      <c r="P24" s="7" t="e">
        <f t="shared" ref="P24:P34" ca="1" si="26">IF(O24=0,"",AVERAGEIFS($J$3:$J$38,$G$3:$G$38,$L24,$I$3:$I$38,$N24))</f>
        <v>#NAME?</v>
      </c>
      <c r="Q24" s="35" t="e">
        <f t="array" aca="1" ref="Q24" ca="1">IF(O24&lt;2,"",VAR(IF($G$3:$G$38=$L24,IF($I$3:$I$38=$N24,$J$3:$J$38,""))))</f>
        <v>#NAME?</v>
      </c>
    </row>
    <row r="25" spans="7:17" x14ac:dyDescent="0.25">
      <c r="G25" s="76" t="e">
        <f ca="1"/>
        <v>#NAME?</v>
      </c>
      <c r="H25" s="7" t="e">
        <f ca="1"/>
        <v>#NAME?</v>
      </c>
      <c r="I25" s="7" t="e">
        <f ca="1"/>
        <v>#NAME?</v>
      </c>
      <c r="J25" s="35" t="e">
        <f ca="1"/>
        <v>#NAME?</v>
      </c>
      <c r="L25" s="76" t="e">
        <f t="shared" ca="1" si="23"/>
        <v>#NAME?</v>
      </c>
      <c r="M25" s="7"/>
      <c r="N25" s="35" t="e">
        <f t="shared" ca="1" si="24"/>
        <v>#NAME?</v>
      </c>
      <c r="O25" s="76">
        <f t="shared" ca="1" si="25"/>
        <v>1296</v>
      </c>
      <c r="P25" s="7" t="e">
        <f t="shared" ca="1" si="26"/>
        <v>#NAME?</v>
      </c>
      <c r="Q25" s="35" t="e">
        <f t="array" aca="1" ref="Q25" ca="1">IF(O25&lt;2,"",VAR(IF($G$3:$G$38=$L25,IF($I$3:$I$38=$N25,$J$3:$J$38,""))))</f>
        <v>#NAME?</v>
      </c>
    </row>
    <row r="26" spans="7:17" x14ac:dyDescent="0.25">
      <c r="G26" s="76" t="e">
        <f ca="1"/>
        <v>#NAME?</v>
      </c>
      <c r="H26" s="7" t="e">
        <f ca="1"/>
        <v>#NAME?</v>
      </c>
      <c r="I26" s="7" t="e">
        <f ca="1"/>
        <v>#NAME?</v>
      </c>
      <c r="J26" s="35" t="e">
        <f ca="1"/>
        <v>#NAME?</v>
      </c>
      <c r="L26" s="76" t="e">
        <f t="shared" ca="1" si="23"/>
        <v>#NAME?</v>
      </c>
      <c r="M26" s="7"/>
      <c r="N26" s="35" t="e">
        <f t="shared" ca="1" si="24"/>
        <v>#NAME?</v>
      </c>
      <c r="O26" s="76">
        <f t="shared" ca="1" si="25"/>
        <v>1296</v>
      </c>
      <c r="P26" s="7" t="e">
        <f t="shared" ca="1" si="26"/>
        <v>#NAME?</v>
      </c>
      <c r="Q26" s="35" t="e">
        <f t="array" aca="1" ref="Q26" ca="1">IF(O26&lt;2,"",VAR(IF($G$3:$G$38=$L26,IF($I$3:$I$38=$N26,$J$3:$J$38,""))))</f>
        <v>#NAME?</v>
      </c>
    </row>
    <row r="27" spans="7:17" x14ac:dyDescent="0.25">
      <c r="G27" s="76" t="e">
        <f ca="1"/>
        <v>#NAME?</v>
      </c>
      <c r="H27" s="7" t="e">
        <f ca="1"/>
        <v>#NAME?</v>
      </c>
      <c r="I27" s="7" t="e">
        <f ca="1"/>
        <v>#NAME?</v>
      </c>
      <c r="J27" s="35" t="e">
        <f ca="1"/>
        <v>#NAME?</v>
      </c>
      <c r="L27" s="76" t="e">
        <f ca="1">$L$5</f>
        <v>#NAME?</v>
      </c>
      <c r="M27" s="7"/>
      <c r="N27" s="35" t="e">
        <f ca="1">$N10</f>
        <v>#NAME?</v>
      </c>
      <c r="O27" s="76">
        <f t="shared" ca="1" si="25"/>
        <v>1296</v>
      </c>
      <c r="P27" s="7" t="e">
        <f t="shared" ca="1" si="26"/>
        <v>#NAME?</v>
      </c>
      <c r="Q27" s="35" t="e">
        <f t="array" aca="1" ref="Q27" ca="1">IF(O27&lt;2,"",VAR(IF($G$3:$G$38=$L27,IF($I$3:$I$38=$N27,$J$3:$J$38,""))))</f>
        <v>#NAME?</v>
      </c>
    </row>
    <row r="28" spans="7:17" x14ac:dyDescent="0.25">
      <c r="G28" s="76" t="e">
        <f ca="1"/>
        <v>#NAME?</v>
      </c>
      <c r="H28" s="7" t="e">
        <f ca="1"/>
        <v>#NAME?</v>
      </c>
      <c r="I28" s="7" t="e">
        <f ca="1"/>
        <v>#NAME?</v>
      </c>
      <c r="J28" s="35" t="e">
        <f ca="1"/>
        <v>#NAME?</v>
      </c>
      <c r="L28" s="76" t="e">
        <f t="shared" ref="L28:L30" ca="1" si="27">$L$5</f>
        <v>#NAME?</v>
      </c>
      <c r="M28" s="7"/>
      <c r="N28" s="35" t="e">
        <f t="shared" ref="N28:N30" ca="1" si="28">$N11</f>
        <v>#NAME?</v>
      </c>
      <c r="O28" s="76">
        <f t="shared" ca="1" si="25"/>
        <v>1296</v>
      </c>
      <c r="P28" s="7" t="e">
        <f t="shared" ca="1" si="26"/>
        <v>#NAME?</v>
      </c>
      <c r="Q28" s="35" t="e">
        <f t="array" aca="1" ref="Q28" ca="1">IF(O28&lt;2,"",VAR(IF($G$3:$G$38=$L28,IF($I$3:$I$38=$N28,$J$3:$J$38,""))))</f>
        <v>#NAME?</v>
      </c>
    </row>
    <row r="29" spans="7:17" x14ac:dyDescent="0.25">
      <c r="G29" s="76" t="e">
        <f ca="1"/>
        <v>#NAME?</v>
      </c>
      <c r="H29" s="7" t="e">
        <f ca="1"/>
        <v>#NAME?</v>
      </c>
      <c r="I29" s="7" t="e">
        <f ca="1"/>
        <v>#NAME?</v>
      </c>
      <c r="J29" s="35" t="e">
        <f ca="1"/>
        <v>#NAME?</v>
      </c>
      <c r="L29" s="76" t="e">
        <f t="shared" ca="1" si="27"/>
        <v>#NAME?</v>
      </c>
      <c r="M29" s="7"/>
      <c r="N29" s="35" t="e">
        <f t="shared" ca="1" si="28"/>
        <v>#NAME?</v>
      </c>
      <c r="O29" s="76">
        <f t="shared" ca="1" si="25"/>
        <v>1296</v>
      </c>
      <c r="P29" s="7" t="e">
        <f t="shared" ca="1" si="26"/>
        <v>#NAME?</v>
      </c>
      <c r="Q29" s="35" t="e">
        <f t="array" aca="1" ref="Q29" ca="1">IF(O29&lt;2,"",VAR(IF($G$3:$G$38=$L29,IF($I$3:$I$38=$N29,$J$3:$J$38,""))))</f>
        <v>#NAME?</v>
      </c>
    </row>
    <row r="30" spans="7:17" x14ac:dyDescent="0.25">
      <c r="G30" s="76" t="e">
        <f ca="1"/>
        <v>#NAME?</v>
      </c>
      <c r="H30" s="7" t="e">
        <f ca="1"/>
        <v>#NAME?</v>
      </c>
      <c r="I30" s="7" t="e">
        <f ca="1"/>
        <v>#NAME?</v>
      </c>
      <c r="J30" s="35" t="e">
        <f ca="1"/>
        <v>#NAME?</v>
      </c>
      <c r="L30" s="76" t="e">
        <f t="shared" ca="1" si="27"/>
        <v>#NAME?</v>
      </c>
      <c r="M30" s="7"/>
      <c r="N30" s="35" t="e">
        <f t="shared" ca="1" si="28"/>
        <v>#NAME?</v>
      </c>
      <c r="O30" s="76">
        <f t="shared" ca="1" si="25"/>
        <v>1296</v>
      </c>
      <c r="P30" s="7" t="e">
        <f t="shared" ca="1" si="26"/>
        <v>#NAME?</v>
      </c>
      <c r="Q30" s="35" t="e">
        <f t="array" aca="1" ref="Q30" ca="1">IF(O30&lt;2,"",VAR(IF($G$3:$G$38=$L30,IF($I$3:$I$38=$N30,$J$3:$J$38,""))))</f>
        <v>#NAME?</v>
      </c>
    </row>
    <row r="31" spans="7:17" x14ac:dyDescent="0.25">
      <c r="G31" s="76" t="e">
        <f ca="1"/>
        <v>#NAME?</v>
      </c>
      <c r="H31" s="7" t="e">
        <f ca="1"/>
        <v>#NAME?</v>
      </c>
      <c r="I31" s="7" t="e">
        <f ca="1"/>
        <v>#NAME?</v>
      </c>
      <c r="J31" s="35" t="e">
        <f ca="1"/>
        <v>#NAME?</v>
      </c>
      <c r="L31" s="76" t="e">
        <f ca="1">$L$6</f>
        <v>#NAME?</v>
      </c>
      <c r="M31" s="7"/>
      <c r="N31" s="35" t="e">
        <f ca="1">$N10</f>
        <v>#NAME?</v>
      </c>
      <c r="O31" s="76">
        <f t="shared" ca="1" si="25"/>
        <v>1296</v>
      </c>
      <c r="P31" s="7" t="e">
        <f t="shared" ca="1" si="26"/>
        <v>#NAME?</v>
      </c>
      <c r="Q31" s="35" t="e">
        <f t="array" aca="1" ref="Q31" ca="1">IF(O31&lt;2,"",VAR(IF($G$3:$G$38=$L31,IF($I$3:$I$38=$N31,$J$3:$J$38,""))))</f>
        <v>#NAME?</v>
      </c>
    </row>
    <row r="32" spans="7:17" x14ac:dyDescent="0.25">
      <c r="G32" s="76" t="e">
        <f ca="1"/>
        <v>#NAME?</v>
      </c>
      <c r="H32" s="7" t="e">
        <f ca="1"/>
        <v>#NAME?</v>
      </c>
      <c r="I32" s="7" t="e">
        <f ca="1"/>
        <v>#NAME?</v>
      </c>
      <c r="J32" s="35" t="e">
        <f ca="1"/>
        <v>#NAME?</v>
      </c>
      <c r="L32" s="76" t="e">
        <f t="shared" ref="L32:L34" ca="1" si="29">$L$6</f>
        <v>#NAME?</v>
      </c>
      <c r="M32" s="7"/>
      <c r="N32" s="35" t="e">
        <f t="shared" ref="N32:N34" ca="1" si="30">$N11</f>
        <v>#NAME?</v>
      </c>
      <c r="O32" s="76">
        <f t="shared" ca="1" si="25"/>
        <v>1296</v>
      </c>
      <c r="P32" s="7" t="e">
        <f t="shared" ca="1" si="26"/>
        <v>#NAME?</v>
      </c>
      <c r="Q32" s="35" t="e">
        <f t="array" aca="1" ref="Q32" ca="1">IF(O32&lt;2,"",VAR(IF($G$3:$G$38=$L32,IF($I$3:$I$38=$N32,$J$3:$J$38,""))))</f>
        <v>#NAME?</v>
      </c>
    </row>
    <row r="33" spans="7:17" x14ac:dyDescent="0.25">
      <c r="G33" s="76" t="e">
        <f ca="1"/>
        <v>#NAME?</v>
      </c>
      <c r="H33" s="7" t="e">
        <f ca="1"/>
        <v>#NAME?</v>
      </c>
      <c r="I33" s="7" t="e">
        <f ca="1"/>
        <v>#NAME?</v>
      </c>
      <c r="J33" s="35" t="e">
        <f ca="1"/>
        <v>#NAME?</v>
      </c>
      <c r="L33" s="76" t="e">
        <f t="shared" ca="1" si="29"/>
        <v>#NAME?</v>
      </c>
      <c r="M33" s="7"/>
      <c r="N33" s="35" t="e">
        <f t="shared" ca="1" si="30"/>
        <v>#NAME?</v>
      </c>
      <c r="O33" s="76">
        <f t="shared" ca="1" si="25"/>
        <v>1296</v>
      </c>
      <c r="P33" s="7" t="e">
        <f t="shared" ca="1" si="26"/>
        <v>#NAME?</v>
      </c>
      <c r="Q33" s="35" t="e">
        <f t="array" aca="1" ref="Q33" ca="1">IF(O33&lt;2,"",VAR(IF($G$3:$G$38=$L33,IF($I$3:$I$38=$N33,$J$3:$J$38,""))))</f>
        <v>#NAME?</v>
      </c>
    </row>
    <row r="34" spans="7:17" x14ac:dyDescent="0.25">
      <c r="G34" s="76" t="e">
        <f ca="1"/>
        <v>#NAME?</v>
      </c>
      <c r="H34" s="7" t="e">
        <f ca="1"/>
        <v>#NAME?</v>
      </c>
      <c r="I34" s="7" t="e">
        <f ca="1"/>
        <v>#NAME?</v>
      </c>
      <c r="J34" s="35" t="e">
        <f ca="1"/>
        <v>#NAME?</v>
      </c>
      <c r="L34" s="348" t="e">
        <f t="shared" ca="1" si="29"/>
        <v>#NAME?</v>
      </c>
      <c r="M34" s="349"/>
      <c r="N34" s="350" t="e">
        <f t="shared" ca="1" si="30"/>
        <v>#NAME?</v>
      </c>
      <c r="O34" s="348">
        <f t="shared" ca="1" si="25"/>
        <v>1296</v>
      </c>
      <c r="P34" s="349" t="e">
        <f t="shared" ca="1" si="26"/>
        <v>#NAME?</v>
      </c>
      <c r="Q34" s="350" t="e">
        <f t="array" aca="1" ref="Q34" ca="1">IF(O34&lt;2,"",VAR(IF($G$3:$G$38=$L34,IF($I$3:$I$38=$N34,$J$3:$J$38,""))))</f>
        <v>#NAME?</v>
      </c>
    </row>
    <row r="35" spans="7:17" x14ac:dyDescent="0.25">
      <c r="G35" s="76" t="e">
        <f ca="1"/>
        <v>#NAME?</v>
      </c>
      <c r="H35" s="7" t="e">
        <f ca="1"/>
        <v>#NAME?</v>
      </c>
      <c r="I35" s="7" t="e">
        <f ca="1"/>
        <v>#NAME?</v>
      </c>
      <c r="J35" s="35" t="e">
        <f ca="1"/>
        <v>#NAME?</v>
      </c>
      <c r="L35" s="394"/>
      <c r="M35" s="395" t="e">
        <f ca="1">$M$7</f>
        <v>#NAME?</v>
      </c>
      <c r="N35" s="396" t="e">
        <f ca="1">$N10</f>
        <v>#NAME?</v>
      </c>
      <c r="O35" s="394">
        <f ca="1">SUMIFS($O$47:$O$82,$M$47:$M$82,M35,$N$47:$N$82,N35)</f>
        <v>1296</v>
      </c>
      <c r="P35" s="395" t="e">
        <f ca="1">IF(O35=0,"",AVERAGEIFS($J$3:$J$38,$H$3:$H$38,$M35,$I$3:$I$38,$N35))</f>
        <v>#NAME?</v>
      </c>
      <c r="Q35" s="396" t="e">
        <f t="array" aca="1" ref="Q35" ca="1">IF(O35&lt;2,"",VAR(IF($H$3:$H$38=$M35,IF($I$3:$I$38=$N35,$J$3:$J$38,""))))</f>
        <v>#NAME?</v>
      </c>
    </row>
    <row r="36" spans="7:17" x14ac:dyDescent="0.25">
      <c r="G36" s="76" t="e">
        <f ca="1"/>
        <v>#NAME?</v>
      </c>
      <c r="H36" s="7" t="e">
        <f ca="1"/>
        <v>#NAME?</v>
      </c>
      <c r="I36" s="7" t="e">
        <f ca="1"/>
        <v>#NAME?</v>
      </c>
      <c r="J36" s="35" t="e">
        <f ca="1"/>
        <v>#NAME?</v>
      </c>
      <c r="L36" s="76"/>
      <c r="M36" s="7" t="e">
        <f t="shared" ref="M36:M38" ca="1" si="31">$M$7</f>
        <v>#NAME?</v>
      </c>
      <c r="N36" s="35" t="e">
        <f t="shared" ref="N36:N38" ca="1" si="32">$N11</f>
        <v>#NAME?</v>
      </c>
      <c r="O36" s="76">
        <f t="shared" ref="O36:O46" ca="1" si="33">SUMIFS($O$47:$O$82,$M$47:$M$82,M36,$N$47:$N$82,N36)</f>
        <v>1296</v>
      </c>
      <c r="P36" s="7" t="e">
        <f t="shared" ref="P36:P46" ca="1" si="34">IF(O36=0,"",AVERAGEIFS($J$3:$J$38,$H$3:$H$38,$M36,$I$3:$I$38,$N36))</f>
        <v>#NAME?</v>
      </c>
      <c r="Q36" s="35" t="e">
        <f t="array" aca="1" ref="Q36" ca="1">IF(O36&lt;2,"",VAR(IF($H$3:$H$38=$M36,IF($I$3:$I$38=$N36,$J$3:$J$38,""))))</f>
        <v>#NAME?</v>
      </c>
    </row>
    <row r="37" spans="7:17" x14ac:dyDescent="0.25">
      <c r="G37" s="76" t="e">
        <f ca="1"/>
        <v>#NAME?</v>
      </c>
      <c r="H37" s="7" t="e">
        <f ca="1"/>
        <v>#NAME?</v>
      </c>
      <c r="I37" s="7" t="e">
        <f ca="1"/>
        <v>#NAME?</v>
      </c>
      <c r="J37" s="35" t="e">
        <f ca="1"/>
        <v>#NAME?</v>
      </c>
      <c r="L37" s="76"/>
      <c r="M37" s="7" t="e">
        <f t="shared" ca="1" si="31"/>
        <v>#NAME?</v>
      </c>
      <c r="N37" s="35" t="e">
        <f t="shared" ca="1" si="32"/>
        <v>#NAME?</v>
      </c>
      <c r="O37" s="76">
        <f t="shared" ca="1" si="33"/>
        <v>1296</v>
      </c>
      <c r="P37" s="7" t="e">
        <f t="shared" ca="1" si="34"/>
        <v>#NAME?</v>
      </c>
      <c r="Q37" s="35" t="e">
        <f t="array" aca="1" ref="Q37" ca="1">IF(O37&lt;2,"",VAR(IF($H$3:$H$38=$M37,IF($I$3:$I$38=$N37,$J$3:$J$38,""))))</f>
        <v>#NAME?</v>
      </c>
    </row>
    <row r="38" spans="7:17" x14ac:dyDescent="0.25">
      <c r="G38" s="348" t="e">
        <f ca="1"/>
        <v>#NAME?</v>
      </c>
      <c r="H38" s="349" t="e">
        <f ca="1"/>
        <v>#NAME?</v>
      </c>
      <c r="I38" s="349" t="e">
        <f ca="1"/>
        <v>#NAME?</v>
      </c>
      <c r="J38" s="350" t="e">
        <f ca="1"/>
        <v>#NAME?</v>
      </c>
      <c r="L38" s="76"/>
      <c r="M38" s="7" t="e">
        <f t="shared" ca="1" si="31"/>
        <v>#NAME?</v>
      </c>
      <c r="N38" s="35" t="e">
        <f t="shared" ca="1" si="32"/>
        <v>#NAME?</v>
      </c>
      <c r="O38" s="76">
        <f t="shared" ca="1" si="33"/>
        <v>1296</v>
      </c>
      <c r="P38" s="7" t="e">
        <f t="shared" ca="1" si="34"/>
        <v>#NAME?</v>
      </c>
      <c r="Q38" s="35" t="e">
        <f t="array" aca="1" ref="Q38" ca="1">IF(O38&lt;2,"",VAR(IF($H$3:$H$38=$M38,IF($I$3:$I$38=$N38,$J$3:$J$38,""))))</f>
        <v>#NAME?</v>
      </c>
    </row>
    <row r="39" spans="7:17" x14ac:dyDescent="0.25">
      <c r="L39" s="76"/>
      <c r="M39" s="7" t="e">
        <f ca="1">$M$8</f>
        <v>#NAME?</v>
      </c>
      <c r="N39" s="35" t="e">
        <f ca="1">$N10</f>
        <v>#NAME?</v>
      </c>
      <c r="O39" s="76">
        <f t="shared" ca="1" si="33"/>
        <v>1296</v>
      </c>
      <c r="P39" s="7" t="e">
        <f t="shared" ca="1" si="34"/>
        <v>#NAME?</v>
      </c>
      <c r="Q39" s="35" t="e">
        <f t="array" aca="1" ref="Q39" ca="1">IF(O39&lt;2,"",VAR(IF($H$3:$H$38=$M39,IF($I$3:$I$38=$N39,$J$3:$J$38,""))))</f>
        <v>#NAME?</v>
      </c>
    </row>
    <row r="40" spans="7:17" x14ac:dyDescent="0.25">
      <c r="L40" s="76"/>
      <c r="M40" s="7" t="e">
        <f t="shared" ref="M40:M42" ca="1" si="35">$M$8</f>
        <v>#NAME?</v>
      </c>
      <c r="N40" s="35" t="e">
        <f t="shared" ref="N40:N42" ca="1" si="36">$N11</f>
        <v>#NAME?</v>
      </c>
      <c r="O40" s="76">
        <f t="shared" ca="1" si="33"/>
        <v>1296</v>
      </c>
      <c r="P40" s="7" t="e">
        <f t="shared" ca="1" si="34"/>
        <v>#NAME?</v>
      </c>
      <c r="Q40" s="35" t="e">
        <f t="array" aca="1" ref="Q40" ca="1">IF(O40&lt;2,"",VAR(IF($H$3:$H$38=$M40,IF($I$3:$I$38=$N40,$J$3:$J$38,""))))</f>
        <v>#NAME?</v>
      </c>
    </row>
    <row r="41" spans="7:17" x14ac:dyDescent="0.25">
      <c r="L41" s="76"/>
      <c r="M41" s="7" t="e">
        <f t="shared" ca="1" si="35"/>
        <v>#NAME?</v>
      </c>
      <c r="N41" s="35" t="e">
        <f t="shared" ca="1" si="36"/>
        <v>#NAME?</v>
      </c>
      <c r="O41" s="76">
        <f t="shared" ca="1" si="33"/>
        <v>1296</v>
      </c>
      <c r="P41" s="7" t="e">
        <f t="shared" ca="1" si="34"/>
        <v>#NAME?</v>
      </c>
      <c r="Q41" s="35" t="e">
        <f t="array" aca="1" ref="Q41" ca="1">IF(O41&lt;2,"",VAR(IF($H$3:$H$38=$M41,IF($I$3:$I$38=$N41,$J$3:$J$38,""))))</f>
        <v>#NAME?</v>
      </c>
    </row>
    <row r="42" spans="7:17" x14ac:dyDescent="0.25">
      <c r="L42" s="76"/>
      <c r="M42" s="7" t="e">
        <f t="shared" ca="1" si="35"/>
        <v>#NAME?</v>
      </c>
      <c r="N42" s="35" t="e">
        <f t="shared" ca="1" si="36"/>
        <v>#NAME?</v>
      </c>
      <c r="O42" s="76">
        <f t="shared" ca="1" si="33"/>
        <v>1296</v>
      </c>
      <c r="P42" s="7" t="e">
        <f t="shared" ca="1" si="34"/>
        <v>#NAME?</v>
      </c>
      <c r="Q42" s="35" t="e">
        <f t="array" aca="1" ref="Q42" ca="1">IF(O42&lt;2,"",VAR(IF($H$3:$H$38=$M42,IF($I$3:$I$38=$N42,$J$3:$J$38,""))))</f>
        <v>#NAME?</v>
      </c>
    </row>
    <row r="43" spans="7:17" x14ac:dyDescent="0.25">
      <c r="L43" s="76"/>
      <c r="M43" s="7" t="e">
        <f ca="1">$M$9</f>
        <v>#NAME?</v>
      </c>
      <c r="N43" s="35" t="e">
        <f ca="1">$N10</f>
        <v>#NAME?</v>
      </c>
      <c r="O43" s="76">
        <f t="shared" ca="1" si="33"/>
        <v>1296</v>
      </c>
      <c r="P43" s="7" t="e">
        <f t="shared" ca="1" si="34"/>
        <v>#NAME?</v>
      </c>
      <c r="Q43" s="35" t="e">
        <f t="array" aca="1" ref="Q43" ca="1">IF(O43&lt;2,"",VAR(IF($H$3:$H$38=$M43,IF($I$3:$I$38=$N43,$J$3:$J$38,""))))</f>
        <v>#NAME?</v>
      </c>
    </row>
    <row r="44" spans="7:17" x14ac:dyDescent="0.25">
      <c r="L44" s="76"/>
      <c r="M44" s="7" t="e">
        <f t="shared" ref="M44:M46" ca="1" si="37">$M$9</f>
        <v>#NAME?</v>
      </c>
      <c r="N44" s="35" t="e">
        <f t="shared" ref="N44:N46" ca="1" si="38">$N11</f>
        <v>#NAME?</v>
      </c>
      <c r="O44" s="76">
        <f t="shared" ca="1" si="33"/>
        <v>1296</v>
      </c>
      <c r="P44" s="7" t="e">
        <f t="shared" ca="1" si="34"/>
        <v>#NAME?</v>
      </c>
      <c r="Q44" s="35" t="e">
        <f t="array" aca="1" ref="Q44" ca="1">IF(O44&lt;2,"",VAR(IF($H$3:$H$38=$M44,IF($I$3:$I$38=$N44,$J$3:$J$38,""))))</f>
        <v>#NAME?</v>
      </c>
    </row>
    <row r="45" spans="7:17" x14ac:dyDescent="0.25">
      <c r="L45" s="76"/>
      <c r="M45" s="7" t="e">
        <f t="shared" ca="1" si="37"/>
        <v>#NAME?</v>
      </c>
      <c r="N45" s="35" t="e">
        <f t="shared" ca="1" si="38"/>
        <v>#NAME?</v>
      </c>
      <c r="O45" s="76">
        <f t="shared" ca="1" si="33"/>
        <v>1296</v>
      </c>
      <c r="P45" s="7" t="e">
        <f t="shared" ca="1" si="34"/>
        <v>#NAME?</v>
      </c>
      <c r="Q45" s="35" t="e">
        <f t="array" aca="1" ref="Q45" ca="1">IF(O45&lt;2,"",VAR(IF($H$3:$H$38=$M45,IF($I$3:$I$38=$N45,$J$3:$J$38,""))))</f>
        <v>#NAME?</v>
      </c>
    </row>
    <row r="46" spans="7:17" x14ac:dyDescent="0.25">
      <c r="L46" s="348"/>
      <c r="M46" s="349" t="e">
        <f t="shared" ca="1" si="37"/>
        <v>#NAME?</v>
      </c>
      <c r="N46" s="350" t="e">
        <f t="shared" ca="1" si="38"/>
        <v>#NAME?</v>
      </c>
      <c r="O46" s="348">
        <f t="shared" ca="1" si="33"/>
        <v>1296</v>
      </c>
      <c r="P46" s="349" t="e">
        <f t="shared" ca="1" si="34"/>
        <v>#NAME?</v>
      </c>
      <c r="Q46" s="350" t="e">
        <f t="array" aca="1" ref="Q46" ca="1">IF(O46&lt;2,"",VAR(IF($H$3:$H$38=$M46,IF($I$3:$I$38=$N46,$J$3:$J$38,""))))</f>
        <v>#NAME?</v>
      </c>
    </row>
    <row r="47" spans="7:17" x14ac:dyDescent="0.25">
      <c r="L47" s="394" t="e">
        <f ca="1">$L$4</f>
        <v>#NAME?</v>
      </c>
      <c r="M47" s="395" t="e">
        <f ca="1">M35</f>
        <v>#NAME?</v>
      </c>
      <c r="N47" s="396" t="e">
        <f ca="1">N35</f>
        <v>#NAME?</v>
      </c>
      <c r="O47" s="394">
        <f ca="1">COUNTIFS($G$3:$G$38,$L47,$H$3:$H$38,$M47,$I$3:$I$38,$N47)</f>
        <v>36</v>
      </c>
      <c r="P47" s="395" t="e">
        <f ca="1">IF(O47=0,"",AVERAGEIFS($J$3:$J$38,$G$3:$G$38,$L47,$H$3:$H$38,$M47,$I$3:$I$38,$N47))</f>
        <v>#NAME?</v>
      </c>
      <c r="Q47" s="396" t="e">
        <f t="array" aca="1" ref="Q47" ca="1">IF(O47&lt;2,"",VAR(IF($G$3:$G$38=$L47,IF($H$3:$H$38=$M47,IF($I$3:$I$38=$N47,$J$3:$J$38,"")))))</f>
        <v>#NAME?</v>
      </c>
    </row>
    <row r="48" spans="7:17" x14ac:dyDescent="0.25">
      <c r="L48" s="76" t="e">
        <f t="shared" ref="L48:L58" ca="1" si="39">$L$4</f>
        <v>#NAME?</v>
      </c>
      <c r="M48" s="7" t="e">
        <f t="shared" ref="M48:N63" ca="1" si="40">M36</f>
        <v>#NAME?</v>
      </c>
      <c r="N48" s="35" t="e">
        <f t="shared" ca="1" si="40"/>
        <v>#NAME?</v>
      </c>
      <c r="O48" s="76">
        <f t="shared" ref="O48:O82" ca="1" si="41">COUNTIFS($G$3:$G$38,$L48,$H$3:$H$38,$M48,$I$3:$I$38,$N48)</f>
        <v>36</v>
      </c>
      <c r="P48" s="7" t="e">
        <f t="shared" ref="P48:P82" ca="1" si="42">IF(O48=0,"",AVERAGEIFS($J$3:$J$38,$G$3:$G$38,$L48,$H$3:$H$38,$M48,$I$3:$I$38,$N48))</f>
        <v>#NAME?</v>
      </c>
      <c r="Q48" s="35" t="e">
        <f t="array" aca="1" ref="Q48" ca="1">IF(O48&lt;2,"",VAR(IF($G$3:$G$38=$L48,IF($H$3:$H$38=$M48,IF($I$3:$I$38=$N48,$J$3:$J$38,"")))))</f>
        <v>#NAME?</v>
      </c>
    </row>
    <row r="49" spans="12:17" x14ac:dyDescent="0.25">
      <c r="L49" s="76" t="e">
        <f t="shared" ca="1" si="39"/>
        <v>#NAME?</v>
      </c>
      <c r="M49" s="7" t="e">
        <f t="shared" ca="1" si="40"/>
        <v>#NAME?</v>
      </c>
      <c r="N49" s="35" t="e">
        <f t="shared" ca="1" si="40"/>
        <v>#NAME?</v>
      </c>
      <c r="O49" s="76">
        <f t="shared" ca="1" si="41"/>
        <v>36</v>
      </c>
      <c r="P49" s="7" t="e">
        <f t="shared" ca="1" si="42"/>
        <v>#NAME?</v>
      </c>
      <c r="Q49" s="35" t="e">
        <f t="array" aca="1" ref="Q49" ca="1">IF(O49&lt;2,"",VAR(IF($G$3:$G$38=$L49,IF($H$3:$H$38=$M49,IF($I$3:$I$38=$N49,$J$3:$J$38,"")))))</f>
        <v>#NAME?</v>
      </c>
    </row>
    <row r="50" spans="12:17" x14ac:dyDescent="0.25">
      <c r="L50" s="76" t="e">
        <f t="shared" ca="1" si="39"/>
        <v>#NAME?</v>
      </c>
      <c r="M50" s="7" t="e">
        <f t="shared" ca="1" si="40"/>
        <v>#NAME?</v>
      </c>
      <c r="N50" s="35" t="e">
        <f t="shared" ca="1" si="40"/>
        <v>#NAME?</v>
      </c>
      <c r="O50" s="76">
        <f t="shared" ca="1" si="41"/>
        <v>36</v>
      </c>
      <c r="P50" s="7" t="e">
        <f t="shared" ca="1" si="42"/>
        <v>#NAME?</v>
      </c>
      <c r="Q50" s="35" t="e">
        <f t="array" aca="1" ref="Q50" ca="1">IF(O50&lt;2,"",VAR(IF($G$3:$G$38=$L50,IF($H$3:$H$38=$M50,IF($I$3:$I$38=$N50,$J$3:$J$38,"")))))</f>
        <v>#NAME?</v>
      </c>
    </row>
    <row r="51" spans="12:17" x14ac:dyDescent="0.25">
      <c r="L51" s="76" t="e">
        <f t="shared" ca="1" si="39"/>
        <v>#NAME?</v>
      </c>
      <c r="M51" s="7" t="e">
        <f t="shared" ca="1" si="40"/>
        <v>#NAME?</v>
      </c>
      <c r="N51" s="35" t="e">
        <f t="shared" ca="1" si="40"/>
        <v>#NAME?</v>
      </c>
      <c r="O51" s="76">
        <f t="shared" ca="1" si="41"/>
        <v>36</v>
      </c>
      <c r="P51" s="7" t="e">
        <f t="shared" ca="1" si="42"/>
        <v>#NAME?</v>
      </c>
      <c r="Q51" s="35" t="e">
        <f t="array" aca="1" ref="Q51" ca="1">IF(O51&lt;2,"",VAR(IF($G$3:$G$38=$L51,IF($H$3:$H$38=$M51,IF($I$3:$I$38=$N51,$J$3:$J$38,"")))))</f>
        <v>#NAME?</v>
      </c>
    </row>
    <row r="52" spans="12:17" x14ac:dyDescent="0.25">
      <c r="L52" s="76" t="e">
        <f t="shared" ca="1" si="39"/>
        <v>#NAME?</v>
      </c>
      <c r="M52" s="7" t="e">
        <f t="shared" ca="1" si="40"/>
        <v>#NAME?</v>
      </c>
      <c r="N52" s="35" t="e">
        <f t="shared" ca="1" si="40"/>
        <v>#NAME?</v>
      </c>
      <c r="O52" s="76">
        <f t="shared" ca="1" si="41"/>
        <v>36</v>
      </c>
      <c r="P52" s="7" t="e">
        <f t="shared" ca="1" si="42"/>
        <v>#NAME?</v>
      </c>
      <c r="Q52" s="35" t="e">
        <f t="array" aca="1" ref="Q52" ca="1">IF(O52&lt;2,"",VAR(IF($G$3:$G$38=$L52,IF($H$3:$H$38=$M52,IF($I$3:$I$38=$N52,$J$3:$J$38,"")))))</f>
        <v>#NAME?</v>
      </c>
    </row>
    <row r="53" spans="12:17" x14ac:dyDescent="0.25">
      <c r="L53" s="76" t="e">
        <f t="shared" ca="1" si="39"/>
        <v>#NAME?</v>
      </c>
      <c r="M53" s="7" t="e">
        <f t="shared" ca="1" si="40"/>
        <v>#NAME?</v>
      </c>
      <c r="N53" s="35" t="e">
        <f t="shared" ca="1" si="40"/>
        <v>#NAME?</v>
      </c>
      <c r="O53" s="76">
        <f t="shared" ca="1" si="41"/>
        <v>36</v>
      </c>
      <c r="P53" s="7" t="e">
        <f t="shared" ca="1" si="42"/>
        <v>#NAME?</v>
      </c>
      <c r="Q53" s="35" t="e">
        <f t="array" aca="1" ref="Q53" ca="1">IF(O53&lt;2,"",VAR(IF($G$3:$G$38=$L53,IF($H$3:$H$38=$M53,IF($I$3:$I$38=$N53,$J$3:$J$38,"")))))</f>
        <v>#NAME?</v>
      </c>
    </row>
    <row r="54" spans="12:17" x14ac:dyDescent="0.25">
      <c r="L54" s="76" t="e">
        <f t="shared" ca="1" si="39"/>
        <v>#NAME?</v>
      </c>
      <c r="M54" s="7" t="e">
        <f t="shared" ca="1" si="40"/>
        <v>#NAME?</v>
      </c>
      <c r="N54" s="35" t="e">
        <f t="shared" ca="1" si="40"/>
        <v>#NAME?</v>
      </c>
      <c r="O54" s="76">
        <f t="shared" ca="1" si="41"/>
        <v>36</v>
      </c>
      <c r="P54" s="7" t="e">
        <f t="shared" ca="1" si="42"/>
        <v>#NAME?</v>
      </c>
      <c r="Q54" s="35" t="e">
        <f t="array" aca="1" ref="Q54" ca="1">IF(O54&lt;2,"",VAR(IF($G$3:$G$38=$L54,IF($H$3:$H$38=$M54,IF($I$3:$I$38=$N54,$J$3:$J$38,"")))))</f>
        <v>#NAME?</v>
      </c>
    </row>
    <row r="55" spans="12:17" x14ac:dyDescent="0.25">
      <c r="L55" s="76" t="e">
        <f t="shared" ca="1" si="39"/>
        <v>#NAME?</v>
      </c>
      <c r="M55" s="7" t="e">
        <f t="shared" ca="1" si="40"/>
        <v>#NAME?</v>
      </c>
      <c r="N55" s="35" t="e">
        <f t="shared" ca="1" si="40"/>
        <v>#NAME?</v>
      </c>
      <c r="O55" s="76">
        <f t="shared" ca="1" si="41"/>
        <v>36</v>
      </c>
      <c r="P55" s="7" t="e">
        <f t="shared" ca="1" si="42"/>
        <v>#NAME?</v>
      </c>
      <c r="Q55" s="35" t="e">
        <f t="array" aca="1" ref="Q55" ca="1">IF(O55&lt;2,"",VAR(IF($G$3:$G$38=$L55,IF($H$3:$H$38=$M55,IF($I$3:$I$38=$N55,$J$3:$J$38,"")))))</f>
        <v>#NAME?</v>
      </c>
    </row>
    <row r="56" spans="12:17" x14ac:dyDescent="0.25">
      <c r="L56" s="76" t="e">
        <f t="shared" ca="1" si="39"/>
        <v>#NAME?</v>
      </c>
      <c r="M56" s="7" t="e">
        <f t="shared" ca="1" si="40"/>
        <v>#NAME?</v>
      </c>
      <c r="N56" s="35" t="e">
        <f t="shared" ca="1" si="40"/>
        <v>#NAME?</v>
      </c>
      <c r="O56" s="76">
        <f t="shared" ca="1" si="41"/>
        <v>36</v>
      </c>
      <c r="P56" s="7" t="e">
        <f t="shared" ca="1" si="42"/>
        <v>#NAME?</v>
      </c>
      <c r="Q56" s="35" t="e">
        <f t="array" aca="1" ref="Q56" ca="1">IF(O56&lt;2,"",VAR(IF($G$3:$G$38=$L56,IF($H$3:$H$38=$M56,IF($I$3:$I$38=$N56,$J$3:$J$38,"")))))</f>
        <v>#NAME?</v>
      </c>
    </row>
    <row r="57" spans="12:17" x14ac:dyDescent="0.25">
      <c r="L57" s="76" t="e">
        <f t="shared" ca="1" si="39"/>
        <v>#NAME?</v>
      </c>
      <c r="M57" s="7" t="e">
        <f t="shared" ca="1" si="40"/>
        <v>#NAME?</v>
      </c>
      <c r="N57" s="35" t="e">
        <f t="shared" ca="1" si="40"/>
        <v>#NAME?</v>
      </c>
      <c r="O57" s="76">
        <f t="shared" ca="1" si="41"/>
        <v>36</v>
      </c>
      <c r="P57" s="7" t="e">
        <f t="shared" ca="1" si="42"/>
        <v>#NAME?</v>
      </c>
      <c r="Q57" s="35" t="e">
        <f t="array" aca="1" ref="Q57" ca="1">IF(O57&lt;2,"",VAR(IF($G$3:$G$38=$L57,IF($H$3:$H$38=$M57,IF($I$3:$I$38=$N57,$J$3:$J$38,"")))))</f>
        <v>#NAME?</v>
      </c>
    </row>
    <row r="58" spans="12:17" x14ac:dyDescent="0.25">
      <c r="L58" s="76" t="e">
        <f t="shared" ca="1" si="39"/>
        <v>#NAME?</v>
      </c>
      <c r="M58" s="7" t="e">
        <f t="shared" ca="1" si="40"/>
        <v>#NAME?</v>
      </c>
      <c r="N58" s="35" t="e">
        <f t="shared" ca="1" si="40"/>
        <v>#NAME?</v>
      </c>
      <c r="O58" s="76">
        <f t="shared" ca="1" si="41"/>
        <v>36</v>
      </c>
      <c r="P58" s="7" t="e">
        <f t="shared" ca="1" si="42"/>
        <v>#NAME?</v>
      </c>
      <c r="Q58" s="35" t="e">
        <f t="array" aca="1" ref="Q58" ca="1">IF(O58&lt;2,"",VAR(IF($G$3:$G$38=$L58,IF($H$3:$H$38=$M58,IF($I$3:$I$38=$N58,$J$3:$J$38,"")))))</f>
        <v>#NAME?</v>
      </c>
    </row>
    <row r="59" spans="12:17" x14ac:dyDescent="0.25">
      <c r="L59" s="76" t="e">
        <f ca="1">$L$5</f>
        <v>#NAME?</v>
      </c>
      <c r="M59" s="7" t="e">
        <f t="shared" ca="1" si="40"/>
        <v>#NAME?</v>
      </c>
      <c r="N59" s="35" t="e">
        <f t="shared" ca="1" si="40"/>
        <v>#NAME?</v>
      </c>
      <c r="O59" s="76">
        <f t="shared" ca="1" si="41"/>
        <v>36</v>
      </c>
      <c r="P59" s="7" t="e">
        <f t="shared" ca="1" si="42"/>
        <v>#NAME?</v>
      </c>
      <c r="Q59" s="35" t="e">
        <f t="array" aca="1" ref="Q59" ca="1">IF(O59&lt;2,"",VAR(IF($G$3:$G$38=$L59,IF($H$3:$H$38=$M59,IF($I$3:$I$38=$N59,$J$3:$J$38,"")))))</f>
        <v>#NAME?</v>
      </c>
    </row>
    <row r="60" spans="12:17" x14ac:dyDescent="0.25">
      <c r="L60" s="76" t="e">
        <f t="shared" ref="L60:L70" ca="1" si="43">$L$5</f>
        <v>#NAME?</v>
      </c>
      <c r="M60" s="7" t="e">
        <f t="shared" ca="1" si="40"/>
        <v>#NAME?</v>
      </c>
      <c r="N60" s="35" t="e">
        <f t="shared" ca="1" si="40"/>
        <v>#NAME?</v>
      </c>
      <c r="O60" s="76">
        <f t="shared" ca="1" si="41"/>
        <v>36</v>
      </c>
      <c r="P60" s="7" t="e">
        <f t="shared" ca="1" si="42"/>
        <v>#NAME?</v>
      </c>
      <c r="Q60" s="35" t="e">
        <f t="array" aca="1" ref="Q60" ca="1">IF(O60&lt;2,"",VAR(IF($G$3:$G$38=$L60,IF($H$3:$H$38=$M60,IF($I$3:$I$38=$N60,$J$3:$J$38,"")))))</f>
        <v>#NAME?</v>
      </c>
    </row>
    <row r="61" spans="12:17" x14ac:dyDescent="0.25">
      <c r="L61" s="76" t="e">
        <f t="shared" ca="1" si="43"/>
        <v>#NAME?</v>
      </c>
      <c r="M61" s="7" t="e">
        <f t="shared" ca="1" si="40"/>
        <v>#NAME?</v>
      </c>
      <c r="N61" s="35" t="e">
        <f t="shared" ca="1" si="40"/>
        <v>#NAME?</v>
      </c>
      <c r="O61" s="76">
        <f t="shared" ca="1" si="41"/>
        <v>36</v>
      </c>
      <c r="P61" s="7" t="e">
        <f t="shared" ca="1" si="42"/>
        <v>#NAME?</v>
      </c>
      <c r="Q61" s="35" t="e">
        <f t="array" aca="1" ref="Q61" ca="1">IF(O61&lt;2,"",VAR(IF($G$3:$G$38=$L61,IF($H$3:$H$38=$M61,IF($I$3:$I$38=$N61,$J$3:$J$38,"")))))</f>
        <v>#NAME?</v>
      </c>
    </row>
    <row r="62" spans="12:17" x14ac:dyDescent="0.25">
      <c r="L62" s="76" t="e">
        <f t="shared" ca="1" si="43"/>
        <v>#NAME?</v>
      </c>
      <c r="M62" s="7" t="e">
        <f t="shared" ca="1" si="40"/>
        <v>#NAME?</v>
      </c>
      <c r="N62" s="35" t="e">
        <f t="shared" ca="1" si="40"/>
        <v>#NAME?</v>
      </c>
      <c r="O62" s="76">
        <f t="shared" ca="1" si="41"/>
        <v>36</v>
      </c>
      <c r="P62" s="7" t="e">
        <f t="shared" ca="1" si="42"/>
        <v>#NAME?</v>
      </c>
      <c r="Q62" s="35" t="e">
        <f t="array" aca="1" ref="Q62" ca="1">IF(O62&lt;2,"",VAR(IF($G$3:$G$38=$L62,IF($H$3:$H$38=$M62,IF($I$3:$I$38=$N62,$J$3:$J$38,"")))))</f>
        <v>#NAME?</v>
      </c>
    </row>
    <row r="63" spans="12:17" x14ac:dyDescent="0.25">
      <c r="L63" s="76" t="e">
        <f t="shared" ca="1" si="43"/>
        <v>#NAME?</v>
      </c>
      <c r="M63" s="7" t="e">
        <f t="shared" ca="1" si="40"/>
        <v>#NAME?</v>
      </c>
      <c r="N63" s="35" t="e">
        <f t="shared" ca="1" si="40"/>
        <v>#NAME?</v>
      </c>
      <c r="O63" s="76">
        <f t="shared" ca="1" si="41"/>
        <v>36</v>
      </c>
      <c r="P63" s="7" t="e">
        <f t="shared" ca="1" si="42"/>
        <v>#NAME?</v>
      </c>
      <c r="Q63" s="35" t="e">
        <f t="array" aca="1" ref="Q63" ca="1">IF(O63&lt;2,"",VAR(IF($G$3:$G$38=$L63,IF($H$3:$H$38=$M63,IF($I$3:$I$38=$N63,$J$3:$J$38,"")))))</f>
        <v>#NAME?</v>
      </c>
    </row>
    <row r="64" spans="12:17" x14ac:dyDescent="0.25">
      <c r="L64" s="76" t="e">
        <f t="shared" ca="1" si="43"/>
        <v>#NAME?</v>
      </c>
      <c r="M64" s="7" t="e">
        <f t="shared" ref="M64:N79" ca="1" si="44">M52</f>
        <v>#NAME?</v>
      </c>
      <c r="N64" s="35" t="e">
        <f t="shared" ca="1" si="44"/>
        <v>#NAME?</v>
      </c>
      <c r="O64" s="76">
        <f t="shared" ca="1" si="41"/>
        <v>36</v>
      </c>
      <c r="P64" s="7" t="e">
        <f t="shared" ca="1" si="42"/>
        <v>#NAME?</v>
      </c>
      <c r="Q64" s="35" t="e">
        <f t="array" aca="1" ref="Q64" ca="1">IF(O64&lt;2,"",VAR(IF($G$3:$G$38=$L64,IF($H$3:$H$38=$M64,IF($I$3:$I$38=$N64,$J$3:$J$38,"")))))</f>
        <v>#NAME?</v>
      </c>
    </row>
    <row r="65" spans="12:17" x14ac:dyDescent="0.25">
      <c r="L65" s="76" t="e">
        <f t="shared" ca="1" si="43"/>
        <v>#NAME?</v>
      </c>
      <c r="M65" s="7" t="e">
        <f t="shared" ca="1" si="44"/>
        <v>#NAME?</v>
      </c>
      <c r="N65" s="35" t="e">
        <f t="shared" ca="1" si="44"/>
        <v>#NAME?</v>
      </c>
      <c r="O65" s="76">
        <f t="shared" ca="1" si="41"/>
        <v>36</v>
      </c>
      <c r="P65" s="7" t="e">
        <f t="shared" ca="1" si="42"/>
        <v>#NAME?</v>
      </c>
      <c r="Q65" s="35" t="e">
        <f t="array" aca="1" ref="Q65" ca="1">IF(O65&lt;2,"",VAR(IF($G$3:$G$38=$L65,IF($H$3:$H$38=$M65,IF($I$3:$I$38=$N65,$J$3:$J$38,"")))))</f>
        <v>#NAME?</v>
      </c>
    </row>
    <row r="66" spans="12:17" x14ac:dyDescent="0.25">
      <c r="L66" s="76" t="e">
        <f t="shared" ca="1" si="43"/>
        <v>#NAME?</v>
      </c>
      <c r="M66" s="7" t="e">
        <f t="shared" ca="1" si="44"/>
        <v>#NAME?</v>
      </c>
      <c r="N66" s="35" t="e">
        <f t="shared" ca="1" si="44"/>
        <v>#NAME?</v>
      </c>
      <c r="O66" s="76">
        <f t="shared" ca="1" si="41"/>
        <v>36</v>
      </c>
      <c r="P66" s="7" t="e">
        <f t="shared" ca="1" si="42"/>
        <v>#NAME?</v>
      </c>
      <c r="Q66" s="35" t="e">
        <f t="array" aca="1" ref="Q66" ca="1">IF(O66&lt;2,"",VAR(IF($G$3:$G$38=$L66,IF($H$3:$H$38=$M66,IF($I$3:$I$38=$N66,$J$3:$J$38,"")))))</f>
        <v>#NAME?</v>
      </c>
    </row>
    <row r="67" spans="12:17" x14ac:dyDescent="0.25">
      <c r="L67" s="76" t="e">
        <f t="shared" ca="1" si="43"/>
        <v>#NAME?</v>
      </c>
      <c r="M67" s="7" t="e">
        <f t="shared" ca="1" si="44"/>
        <v>#NAME?</v>
      </c>
      <c r="N67" s="35" t="e">
        <f t="shared" ca="1" si="44"/>
        <v>#NAME?</v>
      </c>
      <c r="O67" s="76">
        <f t="shared" ca="1" si="41"/>
        <v>36</v>
      </c>
      <c r="P67" s="7" t="e">
        <f t="shared" ca="1" si="42"/>
        <v>#NAME?</v>
      </c>
      <c r="Q67" s="35" t="e">
        <f t="array" aca="1" ref="Q67" ca="1">IF(O67&lt;2,"",VAR(IF($G$3:$G$38=$L67,IF($H$3:$H$38=$M67,IF($I$3:$I$38=$N67,$J$3:$J$38,"")))))</f>
        <v>#NAME?</v>
      </c>
    </row>
    <row r="68" spans="12:17" x14ac:dyDescent="0.25">
      <c r="L68" s="76" t="e">
        <f t="shared" ca="1" si="43"/>
        <v>#NAME?</v>
      </c>
      <c r="M68" s="7" t="e">
        <f t="shared" ca="1" si="44"/>
        <v>#NAME?</v>
      </c>
      <c r="N68" s="35" t="e">
        <f t="shared" ca="1" si="44"/>
        <v>#NAME?</v>
      </c>
      <c r="O68" s="76">
        <f t="shared" ca="1" si="41"/>
        <v>36</v>
      </c>
      <c r="P68" s="7" t="e">
        <f t="shared" ca="1" si="42"/>
        <v>#NAME?</v>
      </c>
      <c r="Q68" s="35" t="e">
        <f t="array" aca="1" ref="Q68" ca="1">IF(O68&lt;2,"",VAR(IF($G$3:$G$38=$L68,IF($H$3:$H$38=$M68,IF($I$3:$I$38=$N68,$J$3:$J$38,"")))))</f>
        <v>#NAME?</v>
      </c>
    </row>
    <row r="69" spans="12:17" x14ac:dyDescent="0.25">
      <c r="L69" s="76" t="e">
        <f t="shared" ca="1" si="43"/>
        <v>#NAME?</v>
      </c>
      <c r="M69" s="7" t="e">
        <f t="shared" ca="1" si="44"/>
        <v>#NAME?</v>
      </c>
      <c r="N69" s="35" t="e">
        <f t="shared" ca="1" si="44"/>
        <v>#NAME?</v>
      </c>
      <c r="O69" s="76">
        <f t="shared" ca="1" si="41"/>
        <v>36</v>
      </c>
      <c r="P69" s="7" t="e">
        <f t="shared" ca="1" si="42"/>
        <v>#NAME?</v>
      </c>
      <c r="Q69" s="35" t="e">
        <f t="array" aca="1" ref="Q69" ca="1">IF(O69&lt;2,"",VAR(IF($G$3:$G$38=$L69,IF($H$3:$H$38=$M69,IF($I$3:$I$38=$N69,$J$3:$J$38,"")))))</f>
        <v>#NAME?</v>
      </c>
    </row>
    <row r="70" spans="12:17" x14ac:dyDescent="0.25">
      <c r="L70" s="76" t="e">
        <f t="shared" ca="1" si="43"/>
        <v>#NAME?</v>
      </c>
      <c r="M70" s="7" t="e">
        <f t="shared" ca="1" si="44"/>
        <v>#NAME?</v>
      </c>
      <c r="N70" s="35" t="e">
        <f t="shared" ca="1" si="44"/>
        <v>#NAME?</v>
      </c>
      <c r="O70" s="76">
        <f t="shared" ca="1" si="41"/>
        <v>36</v>
      </c>
      <c r="P70" s="7" t="e">
        <f t="shared" ca="1" si="42"/>
        <v>#NAME?</v>
      </c>
      <c r="Q70" s="35" t="e">
        <f t="array" aca="1" ref="Q70" ca="1">IF(O70&lt;2,"",VAR(IF($G$3:$G$38=$L70,IF($H$3:$H$38=$M70,IF($I$3:$I$38=$N70,$J$3:$J$38,"")))))</f>
        <v>#NAME?</v>
      </c>
    </row>
    <row r="71" spans="12:17" x14ac:dyDescent="0.25">
      <c r="L71" s="76" t="e">
        <f ca="1">$L$6</f>
        <v>#NAME?</v>
      </c>
      <c r="M71" s="7" t="e">
        <f t="shared" ca="1" si="44"/>
        <v>#NAME?</v>
      </c>
      <c r="N71" s="35" t="e">
        <f t="shared" ca="1" si="44"/>
        <v>#NAME?</v>
      </c>
      <c r="O71" s="76">
        <f t="shared" ca="1" si="41"/>
        <v>36</v>
      </c>
      <c r="P71" s="7" t="e">
        <f t="shared" ca="1" si="42"/>
        <v>#NAME?</v>
      </c>
      <c r="Q71" s="35" t="e">
        <f t="array" aca="1" ref="Q71" ca="1">IF(O71&lt;2,"",VAR(IF($G$3:$G$38=$L71,IF($H$3:$H$38=$M71,IF($I$3:$I$38=$N71,$J$3:$J$38,"")))))</f>
        <v>#NAME?</v>
      </c>
    </row>
    <row r="72" spans="12:17" x14ac:dyDescent="0.25">
      <c r="L72" s="76" t="e">
        <f t="shared" ref="L72:L82" ca="1" si="45">$L$6</f>
        <v>#NAME?</v>
      </c>
      <c r="M72" s="7" t="e">
        <f t="shared" ca="1" si="44"/>
        <v>#NAME?</v>
      </c>
      <c r="N72" s="35" t="e">
        <f t="shared" ca="1" si="44"/>
        <v>#NAME?</v>
      </c>
      <c r="O72" s="76">
        <f t="shared" ca="1" si="41"/>
        <v>36</v>
      </c>
      <c r="P72" s="7" t="e">
        <f t="shared" ca="1" si="42"/>
        <v>#NAME?</v>
      </c>
      <c r="Q72" s="35" t="e">
        <f t="array" aca="1" ref="Q72" ca="1">IF(O72&lt;2,"",VAR(IF($G$3:$G$38=$L72,IF($H$3:$H$38=$M72,IF($I$3:$I$38=$N72,$J$3:$J$38,"")))))</f>
        <v>#NAME?</v>
      </c>
    </row>
    <row r="73" spans="12:17" x14ac:dyDescent="0.25">
      <c r="L73" s="76" t="e">
        <f t="shared" ca="1" si="45"/>
        <v>#NAME?</v>
      </c>
      <c r="M73" s="7" t="e">
        <f t="shared" ca="1" si="44"/>
        <v>#NAME?</v>
      </c>
      <c r="N73" s="35" t="e">
        <f t="shared" ca="1" si="44"/>
        <v>#NAME?</v>
      </c>
      <c r="O73" s="76">
        <f t="shared" ca="1" si="41"/>
        <v>36</v>
      </c>
      <c r="P73" s="7" t="e">
        <f t="shared" ca="1" si="42"/>
        <v>#NAME?</v>
      </c>
      <c r="Q73" s="35" t="e">
        <f t="array" aca="1" ref="Q73" ca="1">IF(O73&lt;2,"",VAR(IF($G$3:$G$38=$L73,IF($H$3:$H$38=$M73,IF($I$3:$I$38=$N73,$J$3:$J$38,"")))))</f>
        <v>#NAME?</v>
      </c>
    </row>
    <row r="74" spans="12:17" x14ac:dyDescent="0.25">
      <c r="L74" s="76" t="e">
        <f t="shared" ca="1" si="45"/>
        <v>#NAME?</v>
      </c>
      <c r="M74" s="7" t="e">
        <f t="shared" ca="1" si="44"/>
        <v>#NAME?</v>
      </c>
      <c r="N74" s="35" t="e">
        <f t="shared" ca="1" si="44"/>
        <v>#NAME?</v>
      </c>
      <c r="O74" s="76">
        <f t="shared" ca="1" si="41"/>
        <v>36</v>
      </c>
      <c r="P74" s="7" t="e">
        <f t="shared" ca="1" si="42"/>
        <v>#NAME?</v>
      </c>
      <c r="Q74" s="35" t="e">
        <f t="array" aca="1" ref="Q74" ca="1">IF(O74&lt;2,"",VAR(IF($G$3:$G$38=$L74,IF($H$3:$H$38=$M74,IF($I$3:$I$38=$N74,$J$3:$J$38,"")))))</f>
        <v>#NAME?</v>
      </c>
    </row>
    <row r="75" spans="12:17" x14ac:dyDescent="0.25">
      <c r="L75" s="76" t="e">
        <f t="shared" ca="1" si="45"/>
        <v>#NAME?</v>
      </c>
      <c r="M75" s="7" t="e">
        <f t="shared" ca="1" si="44"/>
        <v>#NAME?</v>
      </c>
      <c r="N75" s="35" t="e">
        <f t="shared" ca="1" si="44"/>
        <v>#NAME?</v>
      </c>
      <c r="O75" s="76">
        <f t="shared" ca="1" si="41"/>
        <v>36</v>
      </c>
      <c r="P75" s="7" t="e">
        <f t="shared" ca="1" si="42"/>
        <v>#NAME?</v>
      </c>
      <c r="Q75" s="35" t="e">
        <f t="array" aca="1" ref="Q75" ca="1">IF(O75&lt;2,"",VAR(IF($G$3:$G$38=$L75,IF($H$3:$H$38=$M75,IF($I$3:$I$38=$N75,$J$3:$J$38,"")))))</f>
        <v>#NAME?</v>
      </c>
    </row>
    <row r="76" spans="12:17" x14ac:dyDescent="0.25">
      <c r="L76" s="76" t="e">
        <f t="shared" ca="1" si="45"/>
        <v>#NAME?</v>
      </c>
      <c r="M76" s="7" t="e">
        <f t="shared" ca="1" si="44"/>
        <v>#NAME?</v>
      </c>
      <c r="N76" s="35" t="e">
        <f t="shared" ca="1" si="44"/>
        <v>#NAME?</v>
      </c>
      <c r="O76" s="76">
        <f t="shared" ca="1" si="41"/>
        <v>36</v>
      </c>
      <c r="P76" s="7" t="e">
        <f t="shared" ca="1" si="42"/>
        <v>#NAME?</v>
      </c>
      <c r="Q76" s="35" t="e">
        <f t="array" aca="1" ref="Q76" ca="1">IF(O76&lt;2,"",VAR(IF($G$3:$G$38=$L76,IF($H$3:$H$38=$M76,IF($I$3:$I$38=$N76,$J$3:$J$38,"")))))</f>
        <v>#NAME?</v>
      </c>
    </row>
    <row r="77" spans="12:17" x14ac:dyDescent="0.25">
      <c r="L77" s="76" t="e">
        <f t="shared" ca="1" si="45"/>
        <v>#NAME?</v>
      </c>
      <c r="M77" s="7" t="e">
        <f t="shared" ca="1" si="44"/>
        <v>#NAME?</v>
      </c>
      <c r="N77" s="35" t="e">
        <f t="shared" ca="1" si="44"/>
        <v>#NAME?</v>
      </c>
      <c r="O77" s="76">
        <f t="shared" ca="1" si="41"/>
        <v>36</v>
      </c>
      <c r="P77" s="7" t="e">
        <f t="shared" ca="1" si="42"/>
        <v>#NAME?</v>
      </c>
      <c r="Q77" s="35" t="e">
        <f t="array" aca="1" ref="Q77" ca="1">IF(O77&lt;2,"",VAR(IF($G$3:$G$38=$L77,IF($H$3:$H$38=$M77,IF($I$3:$I$38=$N77,$J$3:$J$38,"")))))</f>
        <v>#NAME?</v>
      </c>
    </row>
    <row r="78" spans="12:17" x14ac:dyDescent="0.25">
      <c r="L78" s="76" t="e">
        <f t="shared" ca="1" si="45"/>
        <v>#NAME?</v>
      </c>
      <c r="M78" s="7" t="e">
        <f t="shared" ca="1" si="44"/>
        <v>#NAME?</v>
      </c>
      <c r="N78" s="35" t="e">
        <f t="shared" ca="1" si="44"/>
        <v>#NAME?</v>
      </c>
      <c r="O78" s="76">
        <f t="shared" ca="1" si="41"/>
        <v>36</v>
      </c>
      <c r="P78" s="7" t="e">
        <f t="shared" ca="1" si="42"/>
        <v>#NAME?</v>
      </c>
      <c r="Q78" s="35" t="e">
        <f t="array" aca="1" ref="Q78" ca="1">IF(O78&lt;2,"",VAR(IF($G$3:$G$38=$L78,IF($H$3:$H$38=$M78,IF($I$3:$I$38=$N78,$J$3:$J$38,"")))))</f>
        <v>#NAME?</v>
      </c>
    </row>
    <row r="79" spans="12:17" x14ac:dyDescent="0.25">
      <c r="L79" s="76" t="e">
        <f t="shared" ca="1" si="45"/>
        <v>#NAME?</v>
      </c>
      <c r="M79" s="7" t="e">
        <f t="shared" ca="1" si="44"/>
        <v>#NAME?</v>
      </c>
      <c r="N79" s="35" t="e">
        <f t="shared" ca="1" si="44"/>
        <v>#NAME?</v>
      </c>
      <c r="O79" s="76">
        <f t="shared" ca="1" si="41"/>
        <v>36</v>
      </c>
      <c r="P79" s="7" t="e">
        <f t="shared" ca="1" si="42"/>
        <v>#NAME?</v>
      </c>
      <c r="Q79" s="35" t="e">
        <f t="array" aca="1" ref="Q79" ca="1">IF(O79&lt;2,"",VAR(IF($G$3:$G$38=$L79,IF($H$3:$H$38=$M79,IF($I$3:$I$38=$N79,$J$3:$J$38,"")))))</f>
        <v>#NAME?</v>
      </c>
    </row>
    <row r="80" spans="12:17" x14ac:dyDescent="0.25">
      <c r="L80" s="76" t="e">
        <f t="shared" ca="1" si="45"/>
        <v>#NAME?</v>
      </c>
      <c r="M80" s="7" t="e">
        <f t="shared" ref="M80:N82" ca="1" si="46">M68</f>
        <v>#NAME?</v>
      </c>
      <c r="N80" s="35" t="e">
        <f t="shared" ca="1" si="46"/>
        <v>#NAME?</v>
      </c>
      <c r="O80" s="76">
        <f t="shared" ca="1" si="41"/>
        <v>36</v>
      </c>
      <c r="P80" s="7" t="e">
        <f t="shared" ca="1" si="42"/>
        <v>#NAME?</v>
      </c>
      <c r="Q80" s="35" t="e">
        <f t="array" aca="1" ref="Q80" ca="1">IF(O80&lt;2,"",VAR(IF($G$3:$G$38=$L80,IF($H$3:$H$38=$M80,IF($I$3:$I$38=$N80,$J$3:$J$38,"")))))</f>
        <v>#NAME?</v>
      </c>
    </row>
    <row r="81" spans="12:17" x14ac:dyDescent="0.25">
      <c r="L81" s="76" t="e">
        <f t="shared" ca="1" si="45"/>
        <v>#NAME?</v>
      </c>
      <c r="M81" s="7" t="e">
        <f t="shared" ca="1" si="46"/>
        <v>#NAME?</v>
      </c>
      <c r="N81" s="35" t="e">
        <f t="shared" ca="1" si="46"/>
        <v>#NAME?</v>
      </c>
      <c r="O81" s="76">
        <f t="shared" ca="1" si="41"/>
        <v>36</v>
      </c>
      <c r="P81" s="7" t="e">
        <f t="shared" ca="1" si="42"/>
        <v>#NAME?</v>
      </c>
      <c r="Q81" s="35" t="e">
        <f t="array" aca="1" ref="Q81" ca="1">IF(O81&lt;2,"",VAR(IF($G$3:$G$38=$L81,IF($H$3:$H$38=$M81,IF($I$3:$I$38=$N81,$J$3:$J$38,"")))))</f>
        <v>#NAME?</v>
      </c>
    </row>
    <row r="82" spans="12:17" x14ac:dyDescent="0.25">
      <c r="L82" s="348" t="e">
        <f t="shared" ca="1" si="45"/>
        <v>#NAME?</v>
      </c>
      <c r="M82" s="349" t="e">
        <f t="shared" ca="1" si="46"/>
        <v>#NAME?</v>
      </c>
      <c r="N82" s="350" t="e">
        <f t="shared" ca="1" si="46"/>
        <v>#NAME?</v>
      </c>
      <c r="O82" s="348">
        <f t="shared" ca="1" si="41"/>
        <v>36</v>
      </c>
      <c r="P82" s="349" t="e">
        <f t="shared" ca="1" si="42"/>
        <v>#NAME?</v>
      </c>
      <c r="Q82" s="350" t="e">
        <f t="array" aca="1" ref="Q82" ca="1">IF(O82&lt;2,"",VAR(IF($G$3:$G$38=$L82,IF($H$3:$H$38=$M82,IF($I$3:$I$38=$N82,$J$3:$J$38,"")))))</f>
        <v>#NAME?</v>
      </c>
    </row>
    <row r="83" spans="12:17" x14ac:dyDescent="0.2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M83"/>
  <sheetViews>
    <sheetView topLeftCell="AT1" workbookViewId="0"/>
  </sheetViews>
  <sheetFormatPr defaultRowHeight="15" x14ac:dyDescent="0.25"/>
  <cols>
    <col min="1" max="1" width="5" customWidth="1"/>
    <col min="2" max="5" width="7.5703125" customWidth="1"/>
    <col min="19" max="19" width="15.42578125" customWidth="1"/>
  </cols>
  <sheetData>
    <row r="1" spans="1:65" ht="15.75" thickBot="1" x14ac:dyDescent="0.3">
      <c r="A1" s="1" t="s">
        <v>704</v>
      </c>
      <c r="G1" t="s">
        <v>501</v>
      </c>
      <c r="L1" t="s">
        <v>12</v>
      </c>
      <c r="S1" t="s">
        <v>718</v>
      </c>
      <c r="AA1" t="s">
        <v>712</v>
      </c>
      <c r="AL1" t="s">
        <v>713</v>
      </c>
      <c r="AW1" t="s">
        <v>714</v>
      </c>
      <c r="AZ1" t="s">
        <v>17</v>
      </c>
      <c r="BA1" s="365">
        <v>0.05</v>
      </c>
      <c r="BF1" t="s">
        <v>715</v>
      </c>
      <c r="BI1" t="s">
        <v>17</v>
      </c>
      <c r="BJ1" s="365">
        <v>0.05</v>
      </c>
    </row>
    <row r="2" spans="1:65" ht="15.75" thickTop="1" x14ac:dyDescent="0.25">
      <c r="AA2" s="191" t="s">
        <v>825</v>
      </c>
      <c r="AB2" s="191" t="s">
        <v>829</v>
      </c>
      <c r="AC2" s="191" t="s">
        <v>6</v>
      </c>
      <c r="AD2" s="191" t="s">
        <v>830</v>
      </c>
      <c r="AL2" s="191" t="s">
        <v>825</v>
      </c>
      <c r="AM2" s="191" t="s">
        <v>829</v>
      </c>
      <c r="AN2" s="191" t="s">
        <v>6</v>
      </c>
      <c r="AO2" s="191" t="s">
        <v>830</v>
      </c>
      <c r="AW2" s="191" t="s">
        <v>825</v>
      </c>
      <c r="AX2" s="191" t="s">
        <v>6</v>
      </c>
      <c r="AY2" s="191" t="s">
        <v>830</v>
      </c>
      <c r="AZ2" s="191" t="s">
        <v>183</v>
      </c>
      <c r="BA2" s="191" t="s">
        <v>37</v>
      </c>
      <c r="BB2" s="191" t="s">
        <v>113</v>
      </c>
      <c r="BC2" s="191" t="s">
        <v>826</v>
      </c>
      <c r="BF2" s="191" t="s">
        <v>825</v>
      </c>
      <c r="BG2" s="191" t="s">
        <v>6</v>
      </c>
      <c r="BH2" s="191" t="s">
        <v>830</v>
      </c>
      <c r="BI2" s="191" t="s">
        <v>183</v>
      </c>
      <c r="BJ2" s="191" t="s">
        <v>37</v>
      </c>
      <c r="BK2" s="191" t="s">
        <v>113</v>
      </c>
      <c r="BL2" s="191" t="s">
        <v>826</v>
      </c>
    </row>
    <row r="3" spans="1:65" ht="15.75" thickBot="1" x14ac:dyDescent="0.3">
      <c r="B3" s="365" t="s">
        <v>74</v>
      </c>
      <c r="C3" s="365" t="s">
        <v>65</v>
      </c>
      <c r="D3" s="365" t="s">
        <v>66</v>
      </c>
      <c r="E3" s="365" t="s">
        <v>67</v>
      </c>
      <c r="G3" s="394" t="e">
        <f t="array" aca="1" ref="G3:J38" ca="1">Split2Std(A3:E12, 3)</f>
        <v>#NAME?</v>
      </c>
      <c r="H3" s="395" t="e">
        <f ca="1"/>
        <v>#NAME?</v>
      </c>
      <c r="I3" s="395" t="e">
        <f ca="1"/>
        <v>#NAME?</v>
      </c>
      <c r="J3" s="396" t="e">
        <f ca="1"/>
        <v>#NAME?</v>
      </c>
      <c r="O3" s="12" t="s">
        <v>11</v>
      </c>
      <c r="P3" s="12" t="s">
        <v>8</v>
      </c>
      <c r="Q3" s="12" t="s">
        <v>48</v>
      </c>
      <c r="S3" t="s">
        <v>84</v>
      </c>
      <c r="W3" s="365" t="s">
        <v>17</v>
      </c>
      <c r="X3" s="365">
        <v>0.05</v>
      </c>
      <c r="AA3" s="351" t="e">
        <f t="array" ref="AA3:AA6" ca="1">N10:N13</f>
        <v>#NAME?</v>
      </c>
      <c r="AB3" s="382"/>
      <c r="AC3" s="351" t="e">
        <f t="array" ref="AC3:AC6" ca="1">P10:P13</f>
        <v>#NAME?</v>
      </c>
      <c r="AD3" s="351">
        <f t="array" ref="AD3:AD6" ca="1">O10:O13</f>
        <v>1296</v>
      </c>
      <c r="AL3" s="351" t="e">
        <f t="array" ref="AL3:AL5" ca="1">M7:M9</f>
        <v>#NAME?</v>
      </c>
      <c r="AM3" s="382"/>
      <c r="AN3" s="351" t="e">
        <f t="array" ref="AN3:AN5" ca="1">P7:P9</f>
        <v>#NAME?</v>
      </c>
      <c r="AO3" s="351">
        <f t="array" ref="AO3:AO5" ca="1">O7:O9</f>
        <v>1296</v>
      </c>
      <c r="AW3" s="351" t="e">
        <f t="array" ref="AW3:AW6" ca="1">N10:N13</f>
        <v>#NAME?</v>
      </c>
      <c r="AX3" s="351" t="e">
        <f t="array" ref="AX3:AX6" ca="1">P10:P13</f>
        <v>#NAME?</v>
      </c>
      <c r="AY3" s="351">
        <f t="array" ref="AY3:AY6" ca="1">O10:O13</f>
        <v>1296</v>
      </c>
      <c r="AZ3" s="351"/>
      <c r="BA3" s="351"/>
      <c r="BB3" s="351"/>
      <c r="BC3" s="351"/>
      <c r="BF3" s="351" t="e">
        <f t="array" ref="BF3:BF5" ca="1">M7:M9</f>
        <v>#NAME?</v>
      </c>
      <c r="BG3" s="351" t="e">
        <f t="array" ref="BG3:BG5" ca="1">P7:P9</f>
        <v>#NAME?</v>
      </c>
      <c r="BH3" s="351">
        <f t="array" ref="BH3:BH5" ca="1">O7:O9</f>
        <v>1296</v>
      </c>
      <c r="BI3" s="351"/>
      <c r="BJ3" s="351"/>
      <c r="BK3" s="351"/>
      <c r="BL3" s="351"/>
    </row>
    <row r="4" spans="1:65" ht="15.75" thickTop="1" x14ac:dyDescent="0.25">
      <c r="A4" s="365">
        <v>580</v>
      </c>
      <c r="B4" s="397">
        <v>217</v>
      </c>
      <c r="C4" s="398">
        <v>158</v>
      </c>
      <c r="D4" s="398">
        <v>229</v>
      </c>
      <c r="E4" s="399">
        <v>223</v>
      </c>
      <c r="G4" s="76" t="e">
        <f ca="1"/>
        <v>#NAME?</v>
      </c>
      <c r="H4" s="7" t="e">
        <f ca="1"/>
        <v>#NAME?</v>
      </c>
      <c r="I4" s="7" t="e">
        <f ca="1"/>
        <v>#NAME?</v>
      </c>
      <c r="J4" s="35" t="e">
        <f ca="1"/>
        <v>#NAME?</v>
      </c>
      <c r="L4" s="394" t="e">
        <f t="array" aca="1" ref="L4:L6" ca="1">SortUnique(G3:G38)</f>
        <v>#NAME?</v>
      </c>
      <c r="M4" s="395"/>
      <c r="N4" s="396"/>
      <c r="O4" s="394">
        <f ca="1">SUMIF($L$47:$L$82,L4,$O$47:$O$82)</f>
        <v>1296</v>
      </c>
      <c r="P4" s="395" t="e">
        <f ca="1">IF(O4=0,"",AVERAGEIF($G$3:$G$38,$L4,$J$3:$J$38))</f>
        <v>#NAME?</v>
      </c>
      <c r="Q4" s="396" t="e">
        <f t="array" aca="1" ref="Q4" ca="1">IF(O4&lt;2,"",VAR(IF($G$3:$G$38=$L4,$J$3:$J$38,"")))</f>
        <v>#NAME?</v>
      </c>
      <c r="S4" s="191"/>
      <c r="T4" s="191" t="s">
        <v>76</v>
      </c>
      <c r="U4" s="191" t="s">
        <v>37</v>
      </c>
      <c r="V4" s="191" t="s">
        <v>78</v>
      </c>
      <c r="W4" s="191" t="s">
        <v>68</v>
      </c>
      <c r="X4" s="191" t="s">
        <v>43</v>
      </c>
      <c r="Y4" s="191" t="s">
        <v>111</v>
      </c>
      <c r="AA4" s="7" t="e">
        <f ca="1"/>
        <v>#NAME?</v>
      </c>
      <c r="AB4" s="257">
        <v>-1</v>
      </c>
      <c r="AC4" s="7" t="e">
        <f ca="1"/>
        <v>#NAME?</v>
      </c>
      <c r="AD4" s="7">
        <f ca="1"/>
        <v>1296</v>
      </c>
      <c r="AL4" s="7" t="e">
        <f ca="1"/>
        <v>#NAME?</v>
      </c>
      <c r="AM4" s="257">
        <v>1</v>
      </c>
      <c r="AN4" s="7" t="e">
        <f ca="1"/>
        <v>#NAME?</v>
      </c>
      <c r="AO4" s="7">
        <f ca="1"/>
        <v>1296</v>
      </c>
      <c r="AW4" s="7" t="e">
        <f ca="1"/>
        <v>#NAME?</v>
      </c>
      <c r="AX4" s="7" t="e">
        <f ca="1"/>
        <v>#NAME?</v>
      </c>
      <c r="AY4" s="7">
        <f ca="1"/>
        <v>1296</v>
      </c>
      <c r="AZ4" s="7"/>
      <c r="BA4" s="7"/>
      <c r="BB4" s="7"/>
      <c r="BC4" s="7"/>
      <c r="BF4" s="7" t="e">
        <f ca="1"/>
        <v>#NAME?</v>
      </c>
      <c r="BG4" s="7" t="e">
        <f ca="1"/>
        <v>#NAME?</v>
      </c>
      <c r="BH4" s="7">
        <f ca="1"/>
        <v>1296</v>
      </c>
      <c r="BI4" s="7"/>
      <c r="BJ4" s="7"/>
      <c r="BK4" s="7"/>
      <c r="BL4" s="7"/>
    </row>
    <row r="5" spans="1:65" x14ac:dyDescent="0.25">
      <c r="A5" s="365">
        <v>600</v>
      </c>
      <c r="B5" s="107">
        <v>233</v>
      </c>
      <c r="C5" s="7">
        <v>138</v>
      </c>
      <c r="D5" s="7">
        <v>186</v>
      </c>
      <c r="E5" s="108">
        <v>227</v>
      </c>
      <c r="G5" s="76" t="e">
        <f ca="1"/>
        <v>#NAME?</v>
      </c>
      <c r="H5" s="7" t="e">
        <f ca="1"/>
        <v>#NAME?</v>
      </c>
      <c r="I5" s="7" t="e">
        <f ca="1"/>
        <v>#NAME?</v>
      </c>
      <c r="J5" s="35" t="e">
        <f ca="1"/>
        <v>#NAME?</v>
      </c>
      <c r="L5" s="76" t="e">
        <f ca="1"/>
        <v>#NAME?</v>
      </c>
      <c r="M5" s="7"/>
      <c r="N5" s="35"/>
      <c r="O5" s="76">
        <f t="shared" ref="O5:O6" ca="1" si="0">SUMIF($L$47:$L$82,L5,$O$47:$O$82)</f>
        <v>1296</v>
      </c>
      <c r="P5" s="7" t="e">
        <f t="shared" ref="P5:P6" ca="1" si="1">IF(O5=0,"",AVERAGEIF($G$3:$G$38,$L5,$J$3:$J$38))</f>
        <v>#NAME?</v>
      </c>
      <c r="Q5" s="35" t="e">
        <f t="array" aca="1" ref="Q5" ca="1">IF(O5&lt;2,"",VAR(IF($G$3:$G$38=$L5,$J$3:$J$38,"")))</f>
        <v>#NAME?</v>
      </c>
      <c r="S5" t="s">
        <v>706</v>
      </c>
      <c r="T5" t="e">
        <f ca="1">DEVSQ(P4:P6)*O4</f>
        <v>#NAME?</v>
      </c>
      <c r="U5">
        <f ca="1">COUNT(P4:P6)-1</f>
        <v>-1</v>
      </c>
      <c r="V5" t="e">
        <f t="shared" ref="V5:V12" ca="1" si="2">T5/U5</f>
        <v>#NAME?</v>
      </c>
      <c r="AA5" s="7" t="e">
        <f ca="1"/>
        <v>#NAME?</v>
      </c>
      <c r="AB5" s="257">
        <v>1</v>
      </c>
      <c r="AC5" s="7" t="e">
        <f ca="1"/>
        <v>#NAME?</v>
      </c>
      <c r="AD5" s="7">
        <f ca="1"/>
        <v>1296</v>
      </c>
      <c r="AL5" s="353" t="e">
        <f ca="1"/>
        <v>#NAME?</v>
      </c>
      <c r="AM5" s="355">
        <v>-1</v>
      </c>
      <c r="AN5" s="353" t="e">
        <f ca="1"/>
        <v>#NAME?</v>
      </c>
      <c r="AO5" s="353">
        <f ca="1"/>
        <v>1296</v>
      </c>
      <c r="AW5" s="7" t="e">
        <f ca="1"/>
        <v>#NAME?</v>
      </c>
      <c r="AX5" s="7" t="e">
        <f ca="1"/>
        <v>#NAME?</v>
      </c>
      <c r="AY5" s="7">
        <f ca="1"/>
        <v>1296</v>
      </c>
      <c r="AZ5" s="7"/>
      <c r="BA5" s="7"/>
      <c r="BB5" s="7"/>
      <c r="BC5" s="7"/>
      <c r="BF5" s="353" t="e">
        <f ca="1"/>
        <v>#NAME?</v>
      </c>
      <c r="BG5" s="353" t="e">
        <f ca="1"/>
        <v>#NAME?</v>
      </c>
      <c r="BH5" s="353">
        <f ca="1"/>
        <v>1296</v>
      </c>
      <c r="BI5" s="353"/>
      <c r="BJ5" s="353"/>
      <c r="BK5" s="353"/>
      <c r="BL5" s="353"/>
    </row>
    <row r="6" spans="1:65" x14ac:dyDescent="0.25">
      <c r="A6" s="365">
        <v>620</v>
      </c>
      <c r="B6" s="107">
        <v>175</v>
      </c>
      <c r="C6" s="7">
        <v>152</v>
      </c>
      <c r="D6" s="7">
        <v>155</v>
      </c>
      <c r="E6" s="108">
        <v>156</v>
      </c>
      <c r="G6" s="76" t="e">
        <f ca="1"/>
        <v>#NAME?</v>
      </c>
      <c r="H6" s="7" t="e">
        <f ca="1"/>
        <v>#NAME?</v>
      </c>
      <c r="I6" s="7" t="e">
        <f ca="1"/>
        <v>#NAME?</v>
      </c>
      <c r="J6" s="35" t="e">
        <f ca="1"/>
        <v>#NAME?</v>
      </c>
      <c r="L6" s="76" t="e">
        <f ca="1"/>
        <v>#NAME?</v>
      </c>
      <c r="M6" s="7"/>
      <c r="N6" s="35"/>
      <c r="O6" s="76">
        <f t="shared" ca="1" si="0"/>
        <v>1296</v>
      </c>
      <c r="P6" s="7" t="e">
        <f t="shared" ca="1" si="1"/>
        <v>#NAME?</v>
      </c>
      <c r="Q6" s="35" t="e">
        <f t="array" aca="1" ref="Q6" ca="1">IF(O6&lt;2,"",VAR(IF($G$3:$G$38=$L6,$J$3:$J$38,"")))</f>
        <v>#NAME?</v>
      </c>
      <c r="S6" t="s">
        <v>707</v>
      </c>
      <c r="T6" t="e">
        <f ca="1">DEVSQ(P10:P13)*O10</f>
        <v>#NAME?</v>
      </c>
      <c r="U6">
        <f ca="1">COUNT(P10:P13)-1</f>
        <v>-1</v>
      </c>
      <c r="V6" t="e">
        <f t="shared" ca="1" si="2"/>
        <v>#NAME?</v>
      </c>
      <c r="W6" t="e">
        <f ca="1">V6/V7</f>
        <v>#NAME?</v>
      </c>
      <c r="X6" t="e">
        <f ca="1">FDIST(W6,U6,U7)</f>
        <v>#NAME?</v>
      </c>
      <c r="Y6" s="365" t="e">
        <f ca="1">IF(X6&lt;X3,"yes","no")</f>
        <v>#NAME?</v>
      </c>
      <c r="AA6" s="353" t="e">
        <f ca="1"/>
        <v>#NAME?</v>
      </c>
      <c r="AB6" s="355"/>
      <c r="AC6" s="353" t="e">
        <f ca="1"/>
        <v>#NAME?</v>
      </c>
      <c r="AD6" s="353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353" t="e">
        <f ca="1"/>
        <v>#NAME?</v>
      </c>
      <c r="AX6" s="353" t="e">
        <f ca="1"/>
        <v>#NAME?</v>
      </c>
      <c r="AY6" s="353">
        <f ca="1"/>
        <v>1296</v>
      </c>
      <c r="AZ6" s="353"/>
      <c r="BA6" s="353"/>
      <c r="BB6" s="353"/>
      <c r="BC6" s="353"/>
      <c r="BH6">
        <f ca="1">HARMEAN(BH3:BH5)</f>
        <v>1296</v>
      </c>
      <c r="BI6" t="e">
        <f ca="1">SQRT(V9/BH6)</f>
        <v>#NAME?</v>
      </c>
      <c r="BJ6">
        <f ca="1">U9</f>
        <v>1</v>
      </c>
      <c r="BK6" t="e">
        <f ca="1">QCRIT(COUNT(BH3:BH5),BJ6,BJ1,2)</f>
        <v>#NAME?</v>
      </c>
      <c r="BL6" t="e">
        <f ca="1">BI6*BK6</f>
        <v>#NAME?</v>
      </c>
    </row>
    <row r="7" spans="1:65" ht="15.75" thickBot="1" x14ac:dyDescent="0.3">
      <c r="A7" s="365">
        <v>580</v>
      </c>
      <c r="B7" s="397">
        <v>188</v>
      </c>
      <c r="C7" s="351">
        <v>126</v>
      </c>
      <c r="D7" s="351">
        <v>160</v>
      </c>
      <c r="E7" s="399">
        <v>201</v>
      </c>
      <c r="G7" s="76" t="e">
        <f ca="1"/>
        <v>#NAME?</v>
      </c>
      <c r="H7" s="7" t="e">
        <f ca="1"/>
        <v>#NAME?</v>
      </c>
      <c r="I7" s="7" t="e">
        <f ca="1"/>
        <v>#NAME?</v>
      </c>
      <c r="J7" s="35" t="e">
        <f ca="1"/>
        <v>#NAME?</v>
      </c>
      <c r="L7" s="76"/>
      <c r="M7" s="7" t="e">
        <f t="array" aca="1" ref="M7:M9" ca="1">SortUnique(H3:H38)</f>
        <v>#NAME?</v>
      </c>
      <c r="N7" s="35"/>
      <c r="O7" s="76">
        <f ca="1">SUMIF($M$47:$M$82,M7,$O$47:$O$82)</f>
        <v>1296</v>
      </c>
      <c r="P7" s="7" t="e">
        <f ca="1">IF(O7=0,"",AVERAGEIF($H$3:$H$38,$M7,$J$3:$J$38))</f>
        <v>#NAME?</v>
      </c>
      <c r="Q7" s="35" t="e">
        <f t="array" aca="1" ref="Q7" ca="1">IF(O7&lt;2,"",VAR(IF($H$3:$H$38=$M7,$J$3:$J$38,"")))</f>
        <v>#NAME?</v>
      </c>
      <c r="S7" s="353" t="s">
        <v>717</v>
      </c>
      <c r="T7" s="353" t="e">
        <f ca="1">DEVSQ(P23:P34)*O23-T5-T6</f>
        <v>#NAME?</v>
      </c>
      <c r="U7" s="353">
        <f ca="1">U5*U6</f>
        <v>1</v>
      </c>
      <c r="V7" s="353" t="e">
        <f t="shared" ca="1" si="2"/>
        <v>#NAME?</v>
      </c>
      <c r="W7" s="353"/>
      <c r="X7" s="353"/>
      <c r="Y7" s="353"/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42</v>
      </c>
      <c r="AQ7" t="s">
        <v>17</v>
      </c>
      <c r="AR7">
        <v>0.05</v>
      </c>
      <c r="AY7">
        <f ca="1">HARMEAN(AY3:AY6)</f>
        <v>1296</v>
      </c>
      <c r="AZ7" t="e">
        <f ca="1">SQRT(V7/AY7)</f>
        <v>#NAME?</v>
      </c>
      <c r="BA7">
        <f ca="1">U7</f>
        <v>1</v>
      </c>
      <c r="BB7" t="e">
        <f ca="1">QCRIT(COUNT(AY3:AY6),BA7,BA1,2)</f>
        <v>#NAME?</v>
      </c>
      <c r="BC7" t="e">
        <f ca="1">AZ7*BB7</f>
        <v>#NAME?</v>
      </c>
      <c r="BF7" t="s">
        <v>498</v>
      </c>
    </row>
    <row r="8" spans="1:65" ht="16.5" thickTop="1" thickBot="1" x14ac:dyDescent="0.3">
      <c r="A8" s="365">
        <v>600</v>
      </c>
      <c r="B8" s="107">
        <v>201</v>
      </c>
      <c r="C8" s="7">
        <v>130</v>
      </c>
      <c r="D8" s="7">
        <v>170</v>
      </c>
      <c r="E8" s="108">
        <v>181</v>
      </c>
      <c r="G8" s="76" t="e">
        <f ca="1"/>
        <v>#NAME?</v>
      </c>
      <c r="H8" s="7" t="e">
        <f ca="1"/>
        <v>#NAME?</v>
      </c>
      <c r="I8" s="7" t="e">
        <f ca="1"/>
        <v>#NAME?</v>
      </c>
      <c r="J8" s="35" t="e">
        <f ca="1"/>
        <v>#NAME?</v>
      </c>
      <c r="L8" s="76"/>
      <c r="M8" s="7" t="e">
        <f ca="1"/>
        <v>#NAME?</v>
      </c>
      <c r="N8" s="35"/>
      <c r="O8" s="76">
        <f t="shared" ref="O8:O9" ca="1" si="3">SUMIF($M$47:$M$82,M8,$O$47:$O$82)</f>
        <v>1296</v>
      </c>
      <c r="P8" s="7" t="e">
        <f t="shared" ref="P8:P9" ca="1" si="4">IF(O8=0,"",AVERAGEIF($H$3:$H$38,$M8,$J$3:$J$38))</f>
        <v>#NAME?</v>
      </c>
      <c r="Q8" s="35" t="e">
        <f t="array" aca="1" ref="Q8" ca="1">IF(O8&lt;2,"",VAR(IF($H$3:$H$38=$M8,$J$3:$J$38,"")))</f>
        <v>#NAME?</v>
      </c>
      <c r="S8" t="s">
        <v>709</v>
      </c>
      <c r="T8" t="e">
        <f ca="1">DEVSQ(P7:P9)*O7</f>
        <v>#NAME?</v>
      </c>
      <c r="U8">
        <f ca="1">COUNT(P7:P9)-1</f>
        <v>-1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365" t="e">
        <f ca="1">IF(X8&lt;X3,"yes","no")</f>
        <v>#NAME?</v>
      </c>
      <c r="AA8" t="s">
        <v>42</v>
      </c>
      <c r="AF8" t="s">
        <v>17</v>
      </c>
      <c r="AG8">
        <v>0.05</v>
      </c>
      <c r="AL8" s="191" t="s">
        <v>183</v>
      </c>
      <c r="AM8" s="191" t="s">
        <v>53</v>
      </c>
      <c r="AN8" s="191" t="s">
        <v>37</v>
      </c>
      <c r="AO8" s="191" t="s">
        <v>43</v>
      </c>
      <c r="AP8" s="191" t="s">
        <v>44</v>
      </c>
      <c r="AQ8" s="191" t="s">
        <v>14</v>
      </c>
      <c r="AR8" s="191" t="s">
        <v>15</v>
      </c>
      <c r="AS8" s="191" t="s">
        <v>111</v>
      </c>
      <c r="AT8" s="191" t="s">
        <v>41</v>
      </c>
      <c r="AU8" s="191" t="s">
        <v>192</v>
      </c>
      <c r="AW8" t="s">
        <v>498</v>
      </c>
      <c r="BF8" s="191" t="s">
        <v>827</v>
      </c>
      <c r="BG8" s="191" t="s">
        <v>828</v>
      </c>
      <c r="BH8" s="191" t="s">
        <v>6</v>
      </c>
      <c r="BI8" s="191" t="s">
        <v>497</v>
      </c>
      <c r="BJ8" s="191" t="s">
        <v>14</v>
      </c>
      <c r="BK8" s="191" t="s">
        <v>15</v>
      </c>
      <c r="BL8" s="191" t="s">
        <v>43</v>
      </c>
      <c r="BM8" s="191" t="s">
        <v>41</v>
      </c>
    </row>
    <row r="9" spans="1:65" ht="15.75" thickTop="1" x14ac:dyDescent="0.25">
      <c r="A9" s="365">
        <v>620</v>
      </c>
      <c r="B9" s="52">
        <v>195</v>
      </c>
      <c r="C9" s="353">
        <v>147</v>
      </c>
      <c r="D9" s="353">
        <v>161</v>
      </c>
      <c r="E9" s="56">
        <v>172</v>
      </c>
      <c r="G9" s="76" t="e">
        <f ca="1"/>
        <v>#NAME?</v>
      </c>
      <c r="H9" s="7" t="e">
        <f ca="1"/>
        <v>#NAME?</v>
      </c>
      <c r="I9" s="7" t="e">
        <f ca="1"/>
        <v>#NAME?</v>
      </c>
      <c r="J9" s="35" t="e">
        <f ca="1"/>
        <v>#NAME?</v>
      </c>
      <c r="L9" s="76"/>
      <c r="M9" s="7" t="e">
        <f ca="1"/>
        <v>#NAME?</v>
      </c>
      <c r="N9" s="35"/>
      <c r="O9" s="76">
        <f t="shared" ca="1" si="3"/>
        <v>1296</v>
      </c>
      <c r="P9" s="7" t="e">
        <f t="shared" ca="1" si="4"/>
        <v>#NAME?</v>
      </c>
      <c r="Q9" s="35" t="e">
        <f t="array" aca="1" ref="Q9" ca="1">IF(O9&lt;2,"",VAR(IF($H$3:$H$38=$M9,$J$3:$J$38,"")))</f>
        <v>#NAME?</v>
      </c>
      <c r="S9" t="s">
        <v>719</v>
      </c>
      <c r="T9" t="e">
        <f ca="1">DEVSQ(P14:P22)*O14-T5-T8</f>
        <v>#NAME?</v>
      </c>
      <c r="U9">
        <f ca="1">U5*U8</f>
        <v>1</v>
      </c>
      <c r="V9" t="e">
        <f t="shared" ca="1" si="2"/>
        <v>#NAME?</v>
      </c>
      <c r="AA9" s="191" t="s">
        <v>183</v>
      </c>
      <c r="AB9" s="191" t="s">
        <v>53</v>
      </c>
      <c r="AC9" s="191" t="s">
        <v>37</v>
      </c>
      <c r="AD9" s="191" t="s">
        <v>43</v>
      </c>
      <c r="AE9" s="191" t="s">
        <v>44</v>
      </c>
      <c r="AF9" s="191" t="s">
        <v>14</v>
      </c>
      <c r="AG9" s="191" t="s">
        <v>15</v>
      </c>
      <c r="AH9" s="191" t="s">
        <v>111</v>
      </c>
      <c r="AI9" s="191" t="s">
        <v>41</v>
      </c>
      <c r="AJ9" s="191" t="s">
        <v>192</v>
      </c>
      <c r="AL9" s="400" t="e">
        <f ca="1">SQRT(V9*SUMPRODUCT(AM3:AM5^2,1/AO3:AO5))</f>
        <v>#NAME?</v>
      </c>
      <c r="AM9" s="400" t="e">
        <f ca="1">AN6/AL9</f>
        <v>#NAME?</v>
      </c>
      <c r="AN9" s="400">
        <f ca="1">U9</f>
        <v>1</v>
      </c>
      <c r="AO9" s="400" t="e">
        <f ca="1">TDIST(ABS(AM9),AN9,2)</f>
        <v>#NAME?</v>
      </c>
      <c r="AP9" s="400">
        <f ca="1">TINV(AR7,AN9)</f>
        <v>12.706204736174707</v>
      </c>
      <c r="AQ9" s="400" t="e">
        <f ca="1">AN6-AL9*AP9</f>
        <v>#NAME?</v>
      </c>
      <c r="AR9" s="400" t="e">
        <f ca="1">AN6+AL9*AP9</f>
        <v>#NAME?</v>
      </c>
      <c r="AS9" s="401" t="e">
        <f ca="1">IF(AO9&lt;AR7,"yes","no")</f>
        <v>#NAME?</v>
      </c>
      <c r="AT9" s="400" t="e">
        <f ca="1">ABS(AN6)/SQRT(V9)</f>
        <v>#NAME?</v>
      </c>
      <c r="AU9" s="400" t="e">
        <f ca="1">SQRT(AM9^2/(AM9^2+AN9))</f>
        <v>#NAME?</v>
      </c>
      <c r="AW9" s="191" t="s">
        <v>827</v>
      </c>
      <c r="AX9" s="191" t="s">
        <v>828</v>
      </c>
      <c r="AY9" s="191" t="s">
        <v>6</v>
      </c>
      <c r="AZ9" s="191" t="s">
        <v>497</v>
      </c>
      <c r="BA9" s="191" t="s">
        <v>14</v>
      </c>
      <c r="BB9" s="191" t="s">
        <v>15</v>
      </c>
      <c r="BC9" s="191" t="s">
        <v>43</v>
      </c>
      <c r="BD9" s="191" t="s">
        <v>41</v>
      </c>
      <c r="BF9" s="351" t="e">
        <f ca="1">BF3</f>
        <v>#NAME?</v>
      </c>
      <c r="BG9" s="351" t="e">
        <f ca="1">BF4</f>
        <v>#NAME?</v>
      </c>
      <c r="BH9" s="351" t="e">
        <f ca="1">ABS(BG3-BG4)</f>
        <v>#NAME?</v>
      </c>
      <c r="BI9" s="351" t="e">
        <f ca="1">BH9/BI$6</f>
        <v>#NAME?</v>
      </c>
      <c r="BJ9" s="351" t="e">
        <f ca="1">BH9-BL$6</f>
        <v>#NAME?</v>
      </c>
      <c r="BK9" s="351" t="e">
        <f ca="1">BH9+BL$6</f>
        <v>#NAME?</v>
      </c>
      <c r="BL9" s="351" t="e">
        <f ca="1">QDIST(BI9,COUNT(BH$3:BH$5),BJ$6)</f>
        <v>#NAME?</v>
      </c>
      <c r="BM9" s="351" t="e">
        <f ca="1">ABS(BH9)/SQRT(V$9)</f>
        <v>#NAME?</v>
      </c>
    </row>
    <row r="10" spans="1:65" x14ac:dyDescent="0.25">
      <c r="A10" s="365">
        <v>580</v>
      </c>
      <c r="B10" s="107">
        <v>162</v>
      </c>
      <c r="C10" s="7">
        <v>122</v>
      </c>
      <c r="D10" s="7">
        <v>167</v>
      </c>
      <c r="E10" s="108">
        <v>182</v>
      </c>
      <c r="G10" s="76" t="e">
        <f ca="1"/>
        <v>#NAME?</v>
      </c>
      <c r="H10" s="7" t="e">
        <f ca="1"/>
        <v>#NAME?</v>
      </c>
      <c r="I10" s="7" t="e">
        <f ca="1"/>
        <v>#NAME?</v>
      </c>
      <c r="J10" s="35" t="e">
        <f ca="1"/>
        <v>#NAME?</v>
      </c>
      <c r="L10" s="76"/>
      <c r="M10" s="7"/>
      <c r="N10" s="35" t="e">
        <f t="array" aca="1" ref="N10:N13" ca="1">SortUnique(I3:I38)</f>
        <v>#NAME?</v>
      </c>
      <c r="O10" s="76">
        <f ca="1">SUMIF($N$47:$N$82,N10,$O$47:$O$82)</f>
        <v>1296</v>
      </c>
      <c r="P10" s="7" t="e">
        <f ca="1">IF(O10=0,"",AVERAGEIF($I$3:$I$38,$N10,$J$3:$J$38))</f>
        <v>#NAME?</v>
      </c>
      <c r="Q10" s="35" t="e">
        <f t="array" aca="1" ref="Q10" ca="1">IF(O10&lt;2,"",VAR(IF($I$3:$I$38=$N10,$J$3:$J$38,"")))</f>
        <v>#NAME?</v>
      </c>
      <c r="S10" t="s">
        <v>710</v>
      </c>
      <c r="T10" t="e">
        <f ca="1">DEVSQ(P35:P46)*O35-T6-T8</f>
        <v>#NAME?</v>
      </c>
      <c r="U10">
        <f ca="1">U6*U8</f>
        <v>1</v>
      </c>
      <c r="V10" t="e">
        <f t="shared" ca="1" si="2"/>
        <v>#NAME?</v>
      </c>
      <c r="W10" t="e">
        <f ca="1">V10/V11</f>
        <v>#NAME?</v>
      </c>
      <c r="X10" t="e">
        <f ca="1">FDIST(W10,U10,U11)</f>
        <v>#NAME?</v>
      </c>
      <c r="Y10" s="365" t="e">
        <f ca="1">IF(X10&lt;X3,"yes","no")</f>
        <v>#NAME?</v>
      </c>
      <c r="AA10" s="400" t="e">
        <f ca="1">SQRT(V7*SUMPRODUCT(AB3:AB6^2,1/AD3:AD6))</f>
        <v>#NAME?</v>
      </c>
      <c r="AB10" s="400" t="e">
        <f ca="1">AC7/AA10</f>
        <v>#NAME?</v>
      </c>
      <c r="AC10" s="400">
        <f ca="1">U7</f>
        <v>1</v>
      </c>
      <c r="AD10" s="400" t="e">
        <f ca="1">TDIST(ABS(AB10),AC10,2)</f>
        <v>#NAME?</v>
      </c>
      <c r="AE10" s="400">
        <f ca="1">TINV(AG8,AC10)</f>
        <v>12.706204736174707</v>
      </c>
      <c r="AF10" s="400" t="e">
        <f ca="1">AC7-AA10*AE10</f>
        <v>#NAME?</v>
      </c>
      <c r="AG10" s="400" t="e">
        <f ca="1">AC7+AA10*AE10</f>
        <v>#NAME?</v>
      </c>
      <c r="AH10" s="401" t="e">
        <f ca="1">IF(AD10&lt;AG8,"yes","no")</f>
        <v>#NAME?</v>
      </c>
      <c r="AI10" s="400" t="e">
        <f ca="1">ABS(AC7)/SQRT(V7)</f>
        <v>#NAME?</v>
      </c>
      <c r="AJ10" s="400" t="e">
        <f ca="1">SQRT(AB10^2/(AB10^2+AC10))</f>
        <v>#NAME?</v>
      </c>
      <c r="AW10" s="351" t="e">
        <f ca="1">AW3</f>
        <v>#NAME?</v>
      </c>
      <c r="AX10" s="351" t="e">
        <f ca="1">AW4</f>
        <v>#NAME?</v>
      </c>
      <c r="AY10" s="351" t="e">
        <f ca="1">ABS(AX3-AX4)</f>
        <v>#NAME?</v>
      </c>
      <c r="AZ10" s="351" t="e">
        <f ca="1">AY10/AZ$7</f>
        <v>#NAME?</v>
      </c>
      <c r="BA10" s="351" t="e">
        <f ca="1">AY10-BC$7</f>
        <v>#NAME?</v>
      </c>
      <c r="BB10" s="351" t="e">
        <f ca="1">AY10+BC$7</f>
        <v>#NAME?</v>
      </c>
      <c r="BC10" s="351" t="e">
        <f ca="1">QDIST(AZ10,COUNT(AY$3:AY$6),BA$7)</f>
        <v>#NAME?</v>
      </c>
      <c r="BD10" s="351" t="e">
        <f ca="1">ABS(AY10)/SQRT(V$7)</f>
        <v>#NAME?</v>
      </c>
      <c r="BF10" s="7" t="e">
        <f ca="1">BF3</f>
        <v>#NAME?</v>
      </c>
      <c r="BG10" s="7" t="e">
        <f ca="1">BF5</f>
        <v>#NAME?</v>
      </c>
      <c r="BH10" s="7" t="e">
        <f ca="1">ABS(BG3-BG5)</f>
        <v>#NAME?</v>
      </c>
      <c r="BI10" s="7" t="e">
        <f t="shared" ref="BI10:BI11" ca="1" si="5">BH10/BI$6</f>
        <v>#NAME?</v>
      </c>
      <c r="BJ10" s="7" t="e">
        <f t="shared" ref="BJ10:BJ11" ca="1" si="6">BH10-BL$6</f>
        <v>#NAME?</v>
      </c>
      <c r="BK10" s="7" t="e">
        <f t="shared" ref="BK10:BK11" ca="1" si="7">BH10+BL$6</f>
        <v>#NAME?</v>
      </c>
      <c r="BL10" s="7" t="e">
        <f ca="1">QDIST(BI10,COUNT(BH$3:BH$5),BJ$6)</f>
        <v>#NAME?</v>
      </c>
      <c r="BM10" s="7" t="e">
        <f t="shared" ref="BM10:BM11" ca="1" si="8">ABS(BH10)/SQRT(V$9)</f>
        <v>#NAME?</v>
      </c>
    </row>
    <row r="11" spans="1:65" x14ac:dyDescent="0.25">
      <c r="A11" s="365">
        <v>600</v>
      </c>
      <c r="B11" s="107">
        <v>170</v>
      </c>
      <c r="C11" s="7">
        <v>185</v>
      </c>
      <c r="D11" s="7">
        <v>181</v>
      </c>
      <c r="E11" s="108">
        <v>201</v>
      </c>
      <c r="G11" s="76" t="e">
        <f ca="1"/>
        <v>#NAME?</v>
      </c>
      <c r="H11" s="7" t="e">
        <f ca="1"/>
        <v>#NAME?</v>
      </c>
      <c r="I11" s="7" t="e">
        <f ca="1"/>
        <v>#NAME?</v>
      </c>
      <c r="J11" s="35" t="e">
        <f ca="1"/>
        <v>#NAME?</v>
      </c>
      <c r="L11" s="76"/>
      <c r="M11" s="7"/>
      <c r="N11" s="35" t="e">
        <f ca="1"/>
        <v>#NAME?</v>
      </c>
      <c r="O11" s="76">
        <f t="shared" ref="O11:O13" ca="1" si="9">SUMIF($N$47:$N$82,N11,$O$47:$O$82)</f>
        <v>1296</v>
      </c>
      <c r="P11" s="7" t="e">
        <f t="shared" ref="P11:P13" ca="1" si="10">IF(O11=0,"",AVERAGEIF($I$3:$I$38,$N11,$J$3:$J$38))</f>
        <v>#NAME?</v>
      </c>
      <c r="Q11" s="35" t="e">
        <f t="array" aca="1" ref="Q11" ca="1">IF(O11&lt;2,"",VAR(IF($I$3:$I$38=$N11,$J$3:$J$38,"")))</f>
        <v>#NAME?</v>
      </c>
      <c r="S11" t="s">
        <v>711</v>
      </c>
      <c r="T11" t="e">
        <f ca="1">T12-SUM(T5:T10)</f>
        <v>#NAME?</v>
      </c>
      <c r="U11">
        <f ca="1">U12-SUM(U5:U10)</f>
        <v>1295</v>
      </c>
      <c r="V11" t="e">
        <f t="shared" ca="1" si="2"/>
        <v>#NAME?</v>
      </c>
      <c r="AW11" s="7" t="e">
        <f ca="1">AW3</f>
        <v>#NAME?</v>
      </c>
      <c r="AX11" s="7" t="e">
        <f ca="1">AW5</f>
        <v>#NAME?</v>
      </c>
      <c r="AY11" s="7" t="e">
        <f ca="1">ABS(AX3-AX5)</f>
        <v>#NAME?</v>
      </c>
      <c r="AZ11" s="7" t="e">
        <f t="shared" ref="AZ11:AZ15" ca="1" si="11">AY11/AZ$7</f>
        <v>#NAME?</v>
      </c>
      <c r="BA11" s="7" t="e">
        <f t="shared" ref="BA11:BA15" ca="1" si="12">AY11-BC$7</f>
        <v>#NAME?</v>
      </c>
      <c r="BB11" s="7" t="e">
        <f t="shared" ref="BB11:BB15" ca="1" si="13">AY11+BC$7</f>
        <v>#NAME?</v>
      </c>
      <c r="BC11" s="7" t="e">
        <f ca="1">QDIST(AZ11,COUNT(AY$3:AY$6),BA$7)</f>
        <v>#NAME?</v>
      </c>
      <c r="BD11" s="7" t="e">
        <f t="shared" ref="BD11:BD15" ca="1" si="14">ABS(AY11)/SQRT(V$7)</f>
        <v>#NAME?</v>
      </c>
      <c r="BF11" s="353" t="e">
        <f ca="1">BF4</f>
        <v>#NAME?</v>
      </c>
      <c r="BG11" s="353" t="e">
        <f ca="1">BF5</f>
        <v>#NAME?</v>
      </c>
      <c r="BH11" s="353" t="e">
        <f ca="1">ABS(BG4-BG5)</f>
        <v>#NAME?</v>
      </c>
      <c r="BI11" s="353" t="e">
        <f t="shared" ca="1" si="5"/>
        <v>#NAME?</v>
      </c>
      <c r="BJ11" s="353" t="e">
        <f t="shared" ca="1" si="6"/>
        <v>#NAME?</v>
      </c>
      <c r="BK11" s="353" t="e">
        <f t="shared" ca="1" si="7"/>
        <v>#NAME?</v>
      </c>
      <c r="BL11" s="353" t="e">
        <f ca="1">QDIST(BI11,COUNT(BH$3:BH$5),BJ$6)</f>
        <v>#NAME?</v>
      </c>
      <c r="BM11" s="353" t="e">
        <f t="shared" ca="1" si="8"/>
        <v>#NAME?</v>
      </c>
    </row>
    <row r="12" spans="1:65" x14ac:dyDescent="0.25">
      <c r="A12" s="365">
        <v>620</v>
      </c>
      <c r="B12" s="52">
        <v>213</v>
      </c>
      <c r="C12" s="353">
        <v>180</v>
      </c>
      <c r="D12" s="353">
        <v>182</v>
      </c>
      <c r="E12" s="56">
        <v>199</v>
      </c>
      <c r="G12" s="76" t="e">
        <f ca="1"/>
        <v>#NAME?</v>
      </c>
      <c r="H12" s="7" t="e">
        <f ca="1"/>
        <v>#NAME?</v>
      </c>
      <c r="I12" s="7" t="e">
        <f ca="1"/>
        <v>#NAME?</v>
      </c>
      <c r="J12" s="35" t="e">
        <f ca="1"/>
        <v>#NAME?</v>
      </c>
      <c r="L12" s="76"/>
      <c r="M12" s="7"/>
      <c r="N12" s="35" t="e">
        <f ca="1"/>
        <v>#NAME?</v>
      </c>
      <c r="O12" s="76">
        <f t="shared" ca="1" si="9"/>
        <v>1296</v>
      </c>
      <c r="P12" s="7" t="e">
        <f t="shared" ca="1" si="10"/>
        <v>#NAME?</v>
      </c>
      <c r="Q12" s="35" t="e">
        <f t="array" aca="1" ref="Q12" ca="1">IF(O12&lt;2,"",VAR(IF($I$3:$I$38=$N12,$J$3:$J$38,"")))</f>
        <v>#NAME?</v>
      </c>
      <c r="S12" s="353" t="s">
        <v>1</v>
      </c>
      <c r="T12" s="353" t="e">
        <f ca="1">Q83*U12</f>
        <v>#NAME?</v>
      </c>
      <c r="U12" s="353">
        <f ca="1">O83-1</f>
        <v>1295</v>
      </c>
      <c r="V12" s="353" t="e">
        <f t="shared" ca="1" si="2"/>
        <v>#NAME?</v>
      </c>
      <c r="W12" s="353"/>
      <c r="X12" s="353"/>
      <c r="Y12" s="353"/>
      <c r="AW12" s="7" t="e">
        <f ca="1">AW3</f>
        <v>#NAME?</v>
      </c>
      <c r="AX12" s="7" t="e">
        <f ca="1">AW6</f>
        <v>#NAME?</v>
      </c>
      <c r="AY12" s="7" t="e">
        <f ca="1">ABS(AX3-AX6)</f>
        <v>#NAME?</v>
      </c>
      <c r="AZ12" s="7" t="e">
        <f t="shared" ca="1" si="11"/>
        <v>#NAME?</v>
      </c>
      <c r="BA12" s="7" t="e">
        <f t="shared" ca="1" si="12"/>
        <v>#NAME?</v>
      </c>
      <c r="BB12" s="7" t="e">
        <f t="shared" ca="1" si="13"/>
        <v>#NAME?</v>
      </c>
      <c r="BC12" s="7" t="e">
        <f ca="1">QDIST(AZ12,COUNT(AY$3:AY$6),BA$7)</f>
        <v>#NAME?</v>
      </c>
      <c r="BD12" s="7" t="e">
        <f t="shared" ca="1" si="14"/>
        <v>#NAME?</v>
      </c>
    </row>
    <row r="13" spans="1:65" x14ac:dyDescent="0.25">
      <c r="G13" s="76" t="e">
        <f ca="1"/>
        <v>#NAME?</v>
      </c>
      <c r="H13" s="7" t="e">
        <f ca="1"/>
        <v>#NAME?</v>
      </c>
      <c r="I13" s="7" t="e">
        <f ca="1"/>
        <v>#NAME?</v>
      </c>
      <c r="J13" s="35" t="e">
        <f ca="1"/>
        <v>#NAME?</v>
      </c>
      <c r="L13" s="348"/>
      <c r="M13" s="349"/>
      <c r="N13" s="350" t="e">
        <f ca="1"/>
        <v>#NAME?</v>
      </c>
      <c r="O13" s="348">
        <f t="shared" ca="1" si="9"/>
        <v>1296</v>
      </c>
      <c r="P13" s="349" t="e">
        <f t="shared" ca="1" si="10"/>
        <v>#NAME?</v>
      </c>
      <c r="Q13" s="350" t="e">
        <f t="array" aca="1" ref="Q13" ca="1">IF(O13&lt;2,"",VAR(IF($I$3:$I$38=$N13,$J$3:$J$38,"")))</f>
        <v>#NAME?</v>
      </c>
      <c r="AW13" s="7" t="e">
        <f ca="1">AW4</f>
        <v>#NAME?</v>
      </c>
      <c r="AX13" s="7" t="e">
        <f ca="1">AW5</f>
        <v>#NAME?</v>
      </c>
      <c r="AY13" s="7" t="e">
        <f ca="1">ABS(AX4-AX5)</f>
        <v>#NAME?</v>
      </c>
      <c r="AZ13" s="7" t="e">
        <f t="shared" ca="1" si="11"/>
        <v>#NAME?</v>
      </c>
      <c r="BA13" s="7" t="e">
        <f t="shared" ca="1" si="12"/>
        <v>#NAME?</v>
      </c>
      <c r="BB13" s="7" t="e">
        <f t="shared" ca="1" si="13"/>
        <v>#NAME?</v>
      </c>
      <c r="BC13" s="7" t="e">
        <f ca="1">QDIST(AZ13,COUNT(AY$3:AY$6),BA$7)</f>
        <v>#NAME?</v>
      </c>
      <c r="BD13" s="7" t="e">
        <f t="shared" ca="1" si="14"/>
        <v>#NAME?</v>
      </c>
    </row>
    <row r="14" spans="1:65" x14ac:dyDescent="0.25">
      <c r="G14" s="76" t="e">
        <f ca="1"/>
        <v>#NAME?</v>
      </c>
      <c r="H14" s="7" t="e">
        <f ca="1"/>
        <v>#NAME?</v>
      </c>
      <c r="I14" s="7" t="e">
        <f ca="1"/>
        <v>#NAME?</v>
      </c>
      <c r="J14" s="35" t="e">
        <f ca="1"/>
        <v>#NAME?</v>
      </c>
      <c r="L14" s="402" t="e">
        <f ca="1">$L$4</f>
        <v>#NAME?</v>
      </c>
      <c r="M14" s="403" t="e">
        <f ca="1">$M7</f>
        <v>#NAME?</v>
      </c>
      <c r="N14" s="404"/>
      <c r="O14" s="402">
        <f ca="1">SUMIFS($O$47:$O$82,$L$47:$L$82,L14,$M$47:$M$82,M14)</f>
        <v>1296</v>
      </c>
      <c r="P14" s="403" t="e">
        <f ca="1">IF(O14=0,"",AVERAGEIFS($J$3:$J$38,$G$3:$G$38,$L14,$H$3:$H$38,$M14))</f>
        <v>#NAME?</v>
      </c>
      <c r="Q14" s="404" t="e">
        <f t="array" aca="1" ref="Q14" ca="1">IF(O14&lt;2,"",VAR(IF($G$3:$G$38=$L14,IF($H$3:$H$38=$M14,$J$3:$J$38,""))))</f>
        <v>#NAME?</v>
      </c>
      <c r="AW14" s="7" t="e">
        <f ca="1">AW4</f>
        <v>#NAME?</v>
      </c>
      <c r="AX14" s="7" t="e">
        <f ca="1">AW6</f>
        <v>#NAME?</v>
      </c>
      <c r="AY14" s="7" t="e">
        <f ca="1">ABS(AX4-AX6)</f>
        <v>#NAME?</v>
      </c>
      <c r="AZ14" s="7" t="e">
        <f t="shared" ca="1" si="11"/>
        <v>#NAME?</v>
      </c>
      <c r="BA14" s="7" t="e">
        <f t="shared" ca="1" si="12"/>
        <v>#NAME?</v>
      </c>
      <c r="BB14" s="7" t="e">
        <f t="shared" ca="1" si="13"/>
        <v>#NAME?</v>
      </c>
      <c r="BC14" s="7" t="e">
        <f ca="1">QDIST(AZ14,COUNT(AY$3:AY$6),BA$7)</f>
        <v>#NAME?</v>
      </c>
      <c r="BD14" s="7" t="e">
        <f t="shared" ca="1" si="14"/>
        <v>#NAME?</v>
      </c>
    </row>
    <row r="15" spans="1:65" x14ac:dyDescent="0.25">
      <c r="G15" s="76" t="e">
        <f ca="1"/>
        <v>#NAME?</v>
      </c>
      <c r="H15" s="7" t="e">
        <f ca="1"/>
        <v>#NAME?</v>
      </c>
      <c r="I15" s="7" t="e">
        <f ca="1"/>
        <v>#NAME?</v>
      </c>
      <c r="J15" s="35" t="e">
        <f ca="1"/>
        <v>#NAME?</v>
      </c>
      <c r="L15" s="76" t="e">
        <f t="shared" ref="L15:L16" ca="1" si="15">$L$4</f>
        <v>#NAME?</v>
      </c>
      <c r="M15" s="7" t="e">
        <f t="shared" ref="M15:M16" ca="1" si="16">$M8</f>
        <v>#NAME?</v>
      </c>
      <c r="N15" s="35"/>
      <c r="O15" s="76">
        <f t="shared" ref="O15:O22" ca="1" si="17">SUMIFS($O$47:$O$82,$L$47:$L$82,L15,$M$47:$M$82,M15)</f>
        <v>1296</v>
      </c>
      <c r="P15" s="7" t="e">
        <f t="shared" ref="P15:P22" ca="1" si="18">IF(O15=0,"",AVERAGEIFS($J$3:$J$38,$G$3:$G$38,$L15,$H$3:$H$38,$M15))</f>
        <v>#NAME?</v>
      </c>
      <c r="Q15" s="35" t="e">
        <f t="array" aca="1" ref="Q15" ca="1">IF(O15&lt;2,"",VAR(IF($G$3:$G$38=$L15,IF($H$3:$H$38=$M15,$J$3:$J$38,""))))</f>
        <v>#NAME?</v>
      </c>
      <c r="AW15" s="353" t="e">
        <f ca="1">AW5</f>
        <v>#NAME?</v>
      </c>
      <c r="AX15" s="353" t="e">
        <f ca="1">AW6</f>
        <v>#NAME?</v>
      </c>
      <c r="AY15" s="353" t="e">
        <f ca="1">ABS(AX5-AX6)</f>
        <v>#NAME?</v>
      </c>
      <c r="AZ15" s="353" t="e">
        <f t="shared" ca="1" si="11"/>
        <v>#NAME?</v>
      </c>
      <c r="BA15" s="353" t="e">
        <f t="shared" ca="1" si="12"/>
        <v>#NAME?</v>
      </c>
      <c r="BB15" s="353" t="e">
        <f t="shared" ca="1" si="13"/>
        <v>#NAME?</v>
      </c>
      <c r="BC15" s="353" t="e">
        <f ca="1">QDIST(AZ15,COUNT(AY$3:AY$6),BA$7)</f>
        <v>#NAME?</v>
      </c>
      <c r="BD15" s="353" t="e">
        <f t="shared" ca="1" si="14"/>
        <v>#NAME?</v>
      </c>
    </row>
    <row r="16" spans="1:65" x14ac:dyDescent="0.25">
      <c r="G16" s="76" t="e">
        <f ca="1"/>
        <v>#NAME?</v>
      </c>
      <c r="H16" s="7" t="e">
        <f ca="1"/>
        <v>#NAME?</v>
      </c>
      <c r="I16" s="7" t="e">
        <f ca="1"/>
        <v>#NAME?</v>
      </c>
      <c r="J16" s="35" t="e">
        <f ca="1"/>
        <v>#NAME?</v>
      </c>
      <c r="L16" s="76" t="e">
        <f t="shared" ca="1" si="15"/>
        <v>#NAME?</v>
      </c>
      <c r="M16" s="7" t="e">
        <f t="shared" ca="1" si="16"/>
        <v>#NAME?</v>
      </c>
      <c r="N16" s="35"/>
      <c r="O16" s="76">
        <f t="shared" ca="1" si="17"/>
        <v>1296</v>
      </c>
      <c r="P16" s="7" t="e">
        <f t="shared" ca="1" si="18"/>
        <v>#NAME?</v>
      </c>
      <c r="Q16" s="35" t="e">
        <f t="array" aca="1" ref="Q16" ca="1">IF(O16&lt;2,"",VAR(IF($G$3:$G$38=$L16,IF($H$3:$H$38=$M16,$J$3:$J$38,""))))</f>
        <v>#NAME?</v>
      </c>
    </row>
    <row r="17" spans="7:17" x14ac:dyDescent="0.25">
      <c r="G17" s="76" t="e">
        <f ca="1"/>
        <v>#NAME?</v>
      </c>
      <c r="H17" s="7" t="e">
        <f ca="1"/>
        <v>#NAME?</v>
      </c>
      <c r="I17" s="7" t="e">
        <f ca="1"/>
        <v>#NAME?</v>
      </c>
      <c r="J17" s="35" t="e">
        <f ca="1"/>
        <v>#NAME?</v>
      </c>
      <c r="L17" s="76" t="e">
        <f ca="1">$L$5</f>
        <v>#NAME?</v>
      </c>
      <c r="M17" s="7" t="e">
        <f ca="1">$M7</f>
        <v>#NAME?</v>
      </c>
      <c r="N17" s="35"/>
      <c r="O17" s="76">
        <f t="shared" ca="1" si="17"/>
        <v>1296</v>
      </c>
      <c r="P17" s="7" t="e">
        <f t="shared" ca="1" si="18"/>
        <v>#NAME?</v>
      </c>
      <c r="Q17" s="35" t="e">
        <f t="array" aca="1" ref="Q17" ca="1">IF(O17&lt;2,"",VAR(IF($G$3:$G$38=$L17,IF($H$3:$H$38=$M17,$J$3:$J$38,""))))</f>
        <v>#NAME?</v>
      </c>
    </row>
    <row r="18" spans="7:17" x14ac:dyDescent="0.25">
      <c r="G18" s="76" t="e">
        <f ca="1"/>
        <v>#NAME?</v>
      </c>
      <c r="H18" s="7" t="e">
        <f ca="1"/>
        <v>#NAME?</v>
      </c>
      <c r="I18" s="7" t="e">
        <f ca="1"/>
        <v>#NAME?</v>
      </c>
      <c r="J18" s="35" t="e">
        <f ca="1"/>
        <v>#NAME?</v>
      </c>
      <c r="L18" s="76" t="e">
        <f t="shared" ref="L18:L19" ca="1" si="19">$L$5</f>
        <v>#NAME?</v>
      </c>
      <c r="M18" s="7" t="e">
        <f t="shared" ref="M18:M19" ca="1" si="20">$M8</f>
        <v>#NAME?</v>
      </c>
      <c r="N18" s="35"/>
      <c r="O18" s="76">
        <f t="shared" ca="1" si="17"/>
        <v>1296</v>
      </c>
      <c r="P18" s="7" t="e">
        <f t="shared" ca="1" si="18"/>
        <v>#NAME?</v>
      </c>
      <c r="Q18" s="35" t="e">
        <f t="array" aca="1" ref="Q18" ca="1">IF(O18&lt;2,"",VAR(IF($G$3:$G$38=$L18,IF($H$3:$H$38=$M18,$J$3:$J$38,""))))</f>
        <v>#NAME?</v>
      </c>
    </row>
    <row r="19" spans="7:17" x14ac:dyDescent="0.25">
      <c r="G19" s="76" t="e">
        <f ca="1"/>
        <v>#NAME?</v>
      </c>
      <c r="H19" s="7" t="e">
        <f ca="1"/>
        <v>#NAME?</v>
      </c>
      <c r="I19" s="7" t="e">
        <f ca="1"/>
        <v>#NAME?</v>
      </c>
      <c r="J19" s="35" t="e">
        <f ca="1"/>
        <v>#NAME?</v>
      </c>
      <c r="L19" s="76" t="e">
        <f t="shared" ca="1" si="19"/>
        <v>#NAME?</v>
      </c>
      <c r="M19" s="7" t="e">
        <f t="shared" ca="1" si="20"/>
        <v>#NAME?</v>
      </c>
      <c r="N19" s="35"/>
      <c r="O19" s="76">
        <f t="shared" ca="1" si="17"/>
        <v>1296</v>
      </c>
      <c r="P19" s="7" t="e">
        <f t="shared" ca="1" si="18"/>
        <v>#NAME?</v>
      </c>
      <c r="Q19" s="35" t="e">
        <f t="array" aca="1" ref="Q19" ca="1">IF(O19&lt;2,"",VAR(IF($G$3:$G$38=$L19,IF($H$3:$H$38=$M19,$J$3:$J$38,""))))</f>
        <v>#NAME?</v>
      </c>
    </row>
    <row r="20" spans="7:17" x14ac:dyDescent="0.25">
      <c r="G20" s="76" t="e">
        <f ca="1"/>
        <v>#NAME?</v>
      </c>
      <c r="H20" s="7" t="e">
        <f ca="1"/>
        <v>#NAME?</v>
      </c>
      <c r="I20" s="7" t="e">
        <f ca="1"/>
        <v>#NAME?</v>
      </c>
      <c r="J20" s="35" t="e">
        <f ca="1"/>
        <v>#NAME?</v>
      </c>
      <c r="L20" s="76" t="e">
        <f ca="1">$L$6</f>
        <v>#NAME?</v>
      </c>
      <c r="M20" s="7" t="e">
        <f ca="1">$M7</f>
        <v>#NAME?</v>
      </c>
      <c r="N20" s="35"/>
      <c r="O20" s="76">
        <f t="shared" ca="1" si="17"/>
        <v>1296</v>
      </c>
      <c r="P20" s="7" t="e">
        <f t="shared" ca="1" si="18"/>
        <v>#NAME?</v>
      </c>
      <c r="Q20" s="35" t="e">
        <f t="array" aca="1" ref="Q20" ca="1">IF(O20&lt;2,"",VAR(IF($G$3:$G$38=$L20,IF($H$3:$H$38=$M20,$J$3:$J$38,""))))</f>
        <v>#NAME?</v>
      </c>
    </row>
    <row r="21" spans="7:17" x14ac:dyDescent="0.25">
      <c r="G21" s="76" t="e">
        <f ca="1"/>
        <v>#NAME?</v>
      </c>
      <c r="H21" s="7" t="e">
        <f ca="1"/>
        <v>#NAME?</v>
      </c>
      <c r="I21" s="7" t="e">
        <f ca="1"/>
        <v>#NAME?</v>
      </c>
      <c r="J21" s="35" t="e">
        <f ca="1"/>
        <v>#NAME?</v>
      </c>
      <c r="L21" s="76" t="e">
        <f t="shared" ref="L21:L22" ca="1" si="21">$L$6</f>
        <v>#NAME?</v>
      </c>
      <c r="M21" s="7" t="e">
        <f t="shared" ref="M21:M22" ca="1" si="22">$M8</f>
        <v>#NAME?</v>
      </c>
      <c r="N21" s="35"/>
      <c r="O21" s="76">
        <f t="shared" ca="1" si="17"/>
        <v>1296</v>
      </c>
      <c r="P21" s="7" t="e">
        <f t="shared" ca="1" si="18"/>
        <v>#NAME?</v>
      </c>
      <c r="Q21" s="35" t="e">
        <f t="array" aca="1" ref="Q21" ca="1">IF(O21&lt;2,"",VAR(IF($G$3:$G$38=$L21,IF($H$3:$H$38=$M21,$J$3:$J$38,""))))</f>
        <v>#NAME?</v>
      </c>
    </row>
    <row r="22" spans="7:17" x14ac:dyDescent="0.25">
      <c r="G22" s="76" t="e">
        <f ca="1"/>
        <v>#NAME?</v>
      </c>
      <c r="H22" s="7" t="e">
        <f ca="1"/>
        <v>#NAME?</v>
      </c>
      <c r="I22" s="7" t="e">
        <f ca="1"/>
        <v>#NAME?</v>
      </c>
      <c r="J22" s="35" t="e">
        <f ca="1"/>
        <v>#NAME?</v>
      </c>
      <c r="L22" s="348" t="e">
        <f t="shared" ca="1" si="21"/>
        <v>#NAME?</v>
      </c>
      <c r="M22" s="349" t="e">
        <f t="shared" ca="1" si="22"/>
        <v>#NAME?</v>
      </c>
      <c r="N22" s="350"/>
      <c r="O22" s="348">
        <f t="shared" ca="1" si="17"/>
        <v>1296</v>
      </c>
      <c r="P22" s="349" t="e">
        <f t="shared" ca="1" si="18"/>
        <v>#NAME?</v>
      </c>
      <c r="Q22" s="350" t="e">
        <f t="array" aca="1" ref="Q22" ca="1">IF(O22&lt;2,"",VAR(IF($G$3:$G$38=$L22,IF($H$3:$H$38=$M22,$J$3:$J$38,""))))</f>
        <v>#NAME?</v>
      </c>
    </row>
    <row r="23" spans="7:17" x14ac:dyDescent="0.25">
      <c r="G23" s="76" t="e">
        <f ca="1"/>
        <v>#NAME?</v>
      </c>
      <c r="H23" s="7" t="e">
        <f ca="1"/>
        <v>#NAME?</v>
      </c>
      <c r="I23" s="7" t="e">
        <f ca="1"/>
        <v>#NAME?</v>
      </c>
      <c r="J23" s="35" t="e">
        <f ca="1"/>
        <v>#NAME?</v>
      </c>
      <c r="L23" s="402" t="e">
        <f ca="1">$L$4</f>
        <v>#NAME?</v>
      </c>
      <c r="M23" s="403"/>
      <c r="N23" s="404" t="e">
        <f ca="1">$N10</f>
        <v>#NAME?</v>
      </c>
      <c r="O23" s="402">
        <f ca="1">SUMIFS($O$47:$O$82,$L$47:$L$82,L23,$N$47:$N$82,N23)</f>
        <v>1296</v>
      </c>
      <c r="P23" s="403" t="e">
        <f ca="1">IF(O23=0,"",AVERAGEIFS($J$3:$J$38,$G$3:$G$38,$L23,$I$3:$I$38,$N23))</f>
        <v>#NAME?</v>
      </c>
      <c r="Q23" s="404" t="e">
        <f t="array" aca="1" ref="Q23" ca="1">IF(O23&lt;2,"",VAR(IF($G$3:$G$38=$L23,IF($I$3:$I$38=$N23,$J$3:$J$38,""))))</f>
        <v>#NAME?</v>
      </c>
    </row>
    <row r="24" spans="7:17" x14ac:dyDescent="0.25">
      <c r="G24" s="76" t="e">
        <f ca="1"/>
        <v>#NAME?</v>
      </c>
      <c r="H24" s="7" t="e">
        <f ca="1"/>
        <v>#NAME?</v>
      </c>
      <c r="I24" s="7" t="e">
        <f ca="1"/>
        <v>#NAME?</v>
      </c>
      <c r="J24" s="35" t="e">
        <f ca="1"/>
        <v>#NAME?</v>
      </c>
      <c r="L24" s="76" t="e">
        <f t="shared" ref="L24:L26" ca="1" si="23">$L$4</f>
        <v>#NAME?</v>
      </c>
      <c r="M24" s="7"/>
      <c r="N24" s="35" t="e">
        <f t="shared" ref="N24:N26" ca="1" si="24">$N11</f>
        <v>#NAME?</v>
      </c>
      <c r="O24" s="76">
        <f t="shared" ref="O24:O34" ca="1" si="25">SUMIFS($O$47:$O$82,$L$47:$L$82,L24,$N$47:$N$82,N24)</f>
        <v>1296</v>
      </c>
      <c r="P24" s="7" t="e">
        <f t="shared" ref="P24:P34" ca="1" si="26">IF(O24=0,"",AVERAGEIFS($J$3:$J$38,$G$3:$G$38,$L24,$I$3:$I$38,$N24))</f>
        <v>#NAME?</v>
      </c>
      <c r="Q24" s="35" t="e">
        <f t="array" aca="1" ref="Q24" ca="1">IF(O24&lt;2,"",VAR(IF($G$3:$G$38=$L24,IF($I$3:$I$38=$N24,$J$3:$J$38,""))))</f>
        <v>#NAME?</v>
      </c>
    </row>
    <row r="25" spans="7:17" x14ac:dyDescent="0.25">
      <c r="G25" s="76" t="e">
        <f ca="1"/>
        <v>#NAME?</v>
      </c>
      <c r="H25" s="7" t="e">
        <f ca="1"/>
        <v>#NAME?</v>
      </c>
      <c r="I25" s="7" t="e">
        <f ca="1"/>
        <v>#NAME?</v>
      </c>
      <c r="J25" s="35" t="e">
        <f ca="1"/>
        <v>#NAME?</v>
      </c>
      <c r="L25" s="76" t="e">
        <f t="shared" ca="1" si="23"/>
        <v>#NAME?</v>
      </c>
      <c r="M25" s="7"/>
      <c r="N25" s="35" t="e">
        <f t="shared" ca="1" si="24"/>
        <v>#NAME?</v>
      </c>
      <c r="O25" s="76">
        <f t="shared" ca="1" si="25"/>
        <v>1296</v>
      </c>
      <c r="P25" s="7" t="e">
        <f t="shared" ca="1" si="26"/>
        <v>#NAME?</v>
      </c>
      <c r="Q25" s="35" t="e">
        <f t="array" aca="1" ref="Q25" ca="1">IF(O25&lt;2,"",VAR(IF($G$3:$G$38=$L25,IF($I$3:$I$38=$N25,$J$3:$J$38,""))))</f>
        <v>#NAME?</v>
      </c>
    </row>
    <row r="26" spans="7:17" x14ac:dyDescent="0.25">
      <c r="G26" s="76" t="e">
        <f ca="1"/>
        <v>#NAME?</v>
      </c>
      <c r="H26" s="7" t="e">
        <f ca="1"/>
        <v>#NAME?</v>
      </c>
      <c r="I26" s="7" t="e">
        <f ca="1"/>
        <v>#NAME?</v>
      </c>
      <c r="J26" s="35" t="e">
        <f ca="1"/>
        <v>#NAME?</v>
      </c>
      <c r="L26" s="76" t="e">
        <f t="shared" ca="1" si="23"/>
        <v>#NAME?</v>
      </c>
      <c r="M26" s="7"/>
      <c r="N26" s="35" t="e">
        <f t="shared" ca="1" si="24"/>
        <v>#NAME?</v>
      </c>
      <c r="O26" s="76">
        <f t="shared" ca="1" si="25"/>
        <v>1296</v>
      </c>
      <c r="P26" s="7" t="e">
        <f t="shared" ca="1" si="26"/>
        <v>#NAME?</v>
      </c>
      <c r="Q26" s="35" t="e">
        <f t="array" aca="1" ref="Q26" ca="1">IF(O26&lt;2,"",VAR(IF($G$3:$G$38=$L26,IF($I$3:$I$38=$N26,$J$3:$J$38,""))))</f>
        <v>#NAME?</v>
      </c>
    </row>
    <row r="27" spans="7:17" x14ac:dyDescent="0.25">
      <c r="G27" s="76" t="e">
        <f ca="1"/>
        <v>#NAME?</v>
      </c>
      <c r="H27" s="7" t="e">
        <f ca="1"/>
        <v>#NAME?</v>
      </c>
      <c r="I27" s="7" t="e">
        <f ca="1"/>
        <v>#NAME?</v>
      </c>
      <c r="J27" s="35" t="e">
        <f ca="1"/>
        <v>#NAME?</v>
      </c>
      <c r="L27" s="76" t="e">
        <f ca="1">$L$5</f>
        <v>#NAME?</v>
      </c>
      <c r="M27" s="7"/>
      <c r="N27" s="35" t="e">
        <f ca="1">$N10</f>
        <v>#NAME?</v>
      </c>
      <c r="O27" s="76">
        <f t="shared" ca="1" si="25"/>
        <v>1296</v>
      </c>
      <c r="P27" s="7" t="e">
        <f t="shared" ca="1" si="26"/>
        <v>#NAME?</v>
      </c>
      <c r="Q27" s="35" t="e">
        <f t="array" aca="1" ref="Q27" ca="1">IF(O27&lt;2,"",VAR(IF($G$3:$G$38=$L27,IF($I$3:$I$38=$N27,$J$3:$J$38,""))))</f>
        <v>#NAME?</v>
      </c>
    </row>
    <row r="28" spans="7:17" x14ac:dyDescent="0.25">
      <c r="G28" s="76" t="e">
        <f ca="1"/>
        <v>#NAME?</v>
      </c>
      <c r="H28" s="7" t="e">
        <f ca="1"/>
        <v>#NAME?</v>
      </c>
      <c r="I28" s="7" t="e">
        <f ca="1"/>
        <v>#NAME?</v>
      </c>
      <c r="J28" s="35" t="e">
        <f ca="1"/>
        <v>#NAME?</v>
      </c>
      <c r="L28" s="76" t="e">
        <f t="shared" ref="L28:L30" ca="1" si="27">$L$5</f>
        <v>#NAME?</v>
      </c>
      <c r="M28" s="7"/>
      <c r="N28" s="35" t="e">
        <f t="shared" ref="N28:N30" ca="1" si="28">$N11</f>
        <v>#NAME?</v>
      </c>
      <c r="O28" s="76">
        <f t="shared" ca="1" si="25"/>
        <v>1296</v>
      </c>
      <c r="P28" s="7" t="e">
        <f t="shared" ca="1" si="26"/>
        <v>#NAME?</v>
      </c>
      <c r="Q28" s="35" t="e">
        <f t="array" aca="1" ref="Q28" ca="1">IF(O28&lt;2,"",VAR(IF($G$3:$G$38=$L28,IF($I$3:$I$38=$N28,$J$3:$J$38,""))))</f>
        <v>#NAME?</v>
      </c>
    </row>
    <row r="29" spans="7:17" x14ac:dyDescent="0.25">
      <c r="G29" s="76" t="e">
        <f ca="1"/>
        <v>#NAME?</v>
      </c>
      <c r="H29" s="7" t="e">
        <f ca="1"/>
        <v>#NAME?</v>
      </c>
      <c r="I29" s="7" t="e">
        <f ca="1"/>
        <v>#NAME?</v>
      </c>
      <c r="J29" s="35" t="e">
        <f ca="1"/>
        <v>#NAME?</v>
      </c>
      <c r="L29" s="76" t="e">
        <f t="shared" ca="1" si="27"/>
        <v>#NAME?</v>
      </c>
      <c r="M29" s="7"/>
      <c r="N29" s="35" t="e">
        <f t="shared" ca="1" si="28"/>
        <v>#NAME?</v>
      </c>
      <c r="O29" s="76">
        <f t="shared" ca="1" si="25"/>
        <v>1296</v>
      </c>
      <c r="P29" s="7" t="e">
        <f t="shared" ca="1" si="26"/>
        <v>#NAME?</v>
      </c>
      <c r="Q29" s="35" t="e">
        <f t="array" aca="1" ref="Q29" ca="1">IF(O29&lt;2,"",VAR(IF($G$3:$G$38=$L29,IF($I$3:$I$38=$N29,$J$3:$J$38,""))))</f>
        <v>#NAME?</v>
      </c>
    </row>
    <row r="30" spans="7:17" x14ac:dyDescent="0.25">
      <c r="G30" s="76" t="e">
        <f ca="1"/>
        <v>#NAME?</v>
      </c>
      <c r="H30" s="7" t="e">
        <f ca="1"/>
        <v>#NAME?</v>
      </c>
      <c r="I30" s="7" t="e">
        <f ca="1"/>
        <v>#NAME?</v>
      </c>
      <c r="J30" s="35" t="e">
        <f ca="1"/>
        <v>#NAME?</v>
      </c>
      <c r="L30" s="76" t="e">
        <f t="shared" ca="1" si="27"/>
        <v>#NAME?</v>
      </c>
      <c r="M30" s="7"/>
      <c r="N30" s="35" t="e">
        <f t="shared" ca="1" si="28"/>
        <v>#NAME?</v>
      </c>
      <c r="O30" s="76">
        <f t="shared" ca="1" si="25"/>
        <v>1296</v>
      </c>
      <c r="P30" s="7" t="e">
        <f t="shared" ca="1" si="26"/>
        <v>#NAME?</v>
      </c>
      <c r="Q30" s="35" t="e">
        <f t="array" aca="1" ref="Q30" ca="1">IF(O30&lt;2,"",VAR(IF($G$3:$G$38=$L30,IF($I$3:$I$38=$N30,$J$3:$J$38,""))))</f>
        <v>#NAME?</v>
      </c>
    </row>
    <row r="31" spans="7:17" x14ac:dyDescent="0.25">
      <c r="G31" s="76" t="e">
        <f ca="1"/>
        <v>#NAME?</v>
      </c>
      <c r="H31" s="7" t="e">
        <f ca="1"/>
        <v>#NAME?</v>
      </c>
      <c r="I31" s="7" t="e">
        <f ca="1"/>
        <v>#NAME?</v>
      </c>
      <c r="J31" s="35" t="e">
        <f ca="1"/>
        <v>#NAME?</v>
      </c>
      <c r="L31" s="76" t="e">
        <f ca="1">$L$6</f>
        <v>#NAME?</v>
      </c>
      <c r="M31" s="7"/>
      <c r="N31" s="35" t="e">
        <f ca="1">$N10</f>
        <v>#NAME?</v>
      </c>
      <c r="O31" s="76">
        <f t="shared" ca="1" si="25"/>
        <v>1296</v>
      </c>
      <c r="P31" s="7" t="e">
        <f t="shared" ca="1" si="26"/>
        <v>#NAME?</v>
      </c>
      <c r="Q31" s="35" t="e">
        <f t="array" aca="1" ref="Q31" ca="1">IF(O31&lt;2,"",VAR(IF($G$3:$G$38=$L31,IF($I$3:$I$38=$N31,$J$3:$J$38,""))))</f>
        <v>#NAME?</v>
      </c>
    </row>
    <row r="32" spans="7:17" x14ac:dyDescent="0.25">
      <c r="G32" s="76" t="e">
        <f ca="1"/>
        <v>#NAME?</v>
      </c>
      <c r="H32" s="7" t="e">
        <f ca="1"/>
        <v>#NAME?</v>
      </c>
      <c r="I32" s="7" t="e">
        <f ca="1"/>
        <v>#NAME?</v>
      </c>
      <c r="J32" s="35" t="e">
        <f ca="1"/>
        <v>#NAME?</v>
      </c>
      <c r="L32" s="76" t="e">
        <f t="shared" ref="L32:L34" ca="1" si="29">$L$6</f>
        <v>#NAME?</v>
      </c>
      <c r="M32" s="7"/>
      <c r="N32" s="35" t="e">
        <f t="shared" ref="N32:N34" ca="1" si="30">$N11</f>
        <v>#NAME?</v>
      </c>
      <c r="O32" s="76">
        <f t="shared" ca="1" si="25"/>
        <v>1296</v>
      </c>
      <c r="P32" s="7" t="e">
        <f t="shared" ca="1" si="26"/>
        <v>#NAME?</v>
      </c>
      <c r="Q32" s="35" t="e">
        <f t="array" aca="1" ref="Q32" ca="1">IF(O32&lt;2,"",VAR(IF($G$3:$G$38=$L32,IF($I$3:$I$38=$N32,$J$3:$J$38,""))))</f>
        <v>#NAME?</v>
      </c>
    </row>
    <row r="33" spans="7:17" x14ac:dyDescent="0.25">
      <c r="G33" s="76" t="e">
        <f ca="1"/>
        <v>#NAME?</v>
      </c>
      <c r="H33" s="7" t="e">
        <f ca="1"/>
        <v>#NAME?</v>
      </c>
      <c r="I33" s="7" t="e">
        <f ca="1"/>
        <v>#NAME?</v>
      </c>
      <c r="J33" s="35" t="e">
        <f ca="1"/>
        <v>#NAME?</v>
      </c>
      <c r="L33" s="76" t="e">
        <f t="shared" ca="1" si="29"/>
        <v>#NAME?</v>
      </c>
      <c r="M33" s="7"/>
      <c r="N33" s="35" t="e">
        <f t="shared" ca="1" si="30"/>
        <v>#NAME?</v>
      </c>
      <c r="O33" s="76">
        <f t="shared" ca="1" si="25"/>
        <v>1296</v>
      </c>
      <c r="P33" s="7" t="e">
        <f t="shared" ca="1" si="26"/>
        <v>#NAME?</v>
      </c>
      <c r="Q33" s="35" t="e">
        <f t="array" aca="1" ref="Q33" ca="1">IF(O33&lt;2,"",VAR(IF($G$3:$G$38=$L33,IF($I$3:$I$38=$N33,$J$3:$J$38,""))))</f>
        <v>#NAME?</v>
      </c>
    </row>
    <row r="34" spans="7:17" x14ac:dyDescent="0.25">
      <c r="G34" s="76" t="e">
        <f ca="1"/>
        <v>#NAME?</v>
      </c>
      <c r="H34" s="7" t="e">
        <f ca="1"/>
        <v>#NAME?</v>
      </c>
      <c r="I34" s="7" t="e">
        <f ca="1"/>
        <v>#NAME?</v>
      </c>
      <c r="J34" s="35" t="e">
        <f ca="1"/>
        <v>#NAME?</v>
      </c>
      <c r="L34" s="348" t="e">
        <f t="shared" ca="1" si="29"/>
        <v>#NAME?</v>
      </c>
      <c r="M34" s="349"/>
      <c r="N34" s="350" t="e">
        <f t="shared" ca="1" si="30"/>
        <v>#NAME?</v>
      </c>
      <c r="O34" s="348">
        <f t="shared" ca="1" si="25"/>
        <v>1296</v>
      </c>
      <c r="P34" s="349" t="e">
        <f t="shared" ca="1" si="26"/>
        <v>#NAME?</v>
      </c>
      <c r="Q34" s="350" t="e">
        <f t="array" aca="1" ref="Q34" ca="1">IF(O34&lt;2,"",VAR(IF($G$3:$G$38=$L34,IF($I$3:$I$38=$N34,$J$3:$J$38,""))))</f>
        <v>#NAME?</v>
      </c>
    </row>
    <row r="35" spans="7:17" x14ac:dyDescent="0.25">
      <c r="G35" s="76" t="e">
        <f ca="1"/>
        <v>#NAME?</v>
      </c>
      <c r="H35" s="7" t="e">
        <f ca="1"/>
        <v>#NAME?</v>
      </c>
      <c r="I35" s="7" t="e">
        <f ca="1"/>
        <v>#NAME?</v>
      </c>
      <c r="J35" s="35" t="e">
        <f ca="1"/>
        <v>#NAME?</v>
      </c>
      <c r="L35" s="402"/>
      <c r="M35" s="403" t="e">
        <f ca="1">$M$7</f>
        <v>#NAME?</v>
      </c>
      <c r="N35" s="404" t="e">
        <f ca="1">$N10</f>
        <v>#NAME?</v>
      </c>
      <c r="O35" s="402">
        <f ca="1">SUMIFS($O$47:$O$82,$M$47:$M$82,M35,$N$47:$N$82,N35)</f>
        <v>1296</v>
      </c>
      <c r="P35" s="403" t="e">
        <f ca="1">IF(O35=0,"",AVERAGEIFS($J$3:$J$38,$H$3:$H$38,$M35,$I$3:$I$38,$N35))</f>
        <v>#NAME?</v>
      </c>
      <c r="Q35" s="404" t="e">
        <f t="array" aca="1" ref="Q35" ca="1">IF(O35&lt;2,"",VAR(IF($H$3:$H$38=$M35,IF($I$3:$I$38=$N35,$J$3:$J$38,""))))</f>
        <v>#NAME?</v>
      </c>
    </row>
    <row r="36" spans="7:17" x14ac:dyDescent="0.25">
      <c r="G36" s="76" t="e">
        <f ca="1"/>
        <v>#NAME?</v>
      </c>
      <c r="H36" s="7" t="e">
        <f ca="1"/>
        <v>#NAME?</v>
      </c>
      <c r="I36" s="7" t="e">
        <f ca="1"/>
        <v>#NAME?</v>
      </c>
      <c r="J36" s="35" t="e">
        <f ca="1"/>
        <v>#NAME?</v>
      </c>
      <c r="L36" s="76"/>
      <c r="M36" s="7" t="e">
        <f t="shared" ref="M36:M38" ca="1" si="31">$M$7</f>
        <v>#NAME?</v>
      </c>
      <c r="N36" s="35" t="e">
        <f t="shared" ref="N36:N38" ca="1" si="32">$N11</f>
        <v>#NAME?</v>
      </c>
      <c r="O36" s="76">
        <f t="shared" ref="O36:O46" ca="1" si="33">SUMIFS($O$47:$O$82,$M$47:$M$82,M36,$N$47:$N$82,N36)</f>
        <v>1296</v>
      </c>
      <c r="P36" s="7" t="e">
        <f t="shared" ref="P36:P46" ca="1" si="34">IF(O36=0,"",AVERAGEIFS($J$3:$J$38,$H$3:$H$38,$M36,$I$3:$I$38,$N36))</f>
        <v>#NAME?</v>
      </c>
      <c r="Q36" s="35" t="e">
        <f t="array" aca="1" ref="Q36" ca="1">IF(O36&lt;2,"",VAR(IF($H$3:$H$38=$M36,IF($I$3:$I$38=$N36,$J$3:$J$38,""))))</f>
        <v>#NAME?</v>
      </c>
    </row>
    <row r="37" spans="7:17" x14ac:dyDescent="0.25">
      <c r="G37" s="76" t="e">
        <f ca="1"/>
        <v>#NAME?</v>
      </c>
      <c r="H37" s="7" t="e">
        <f ca="1"/>
        <v>#NAME?</v>
      </c>
      <c r="I37" s="7" t="e">
        <f ca="1"/>
        <v>#NAME?</v>
      </c>
      <c r="J37" s="35" t="e">
        <f ca="1"/>
        <v>#NAME?</v>
      </c>
      <c r="L37" s="76"/>
      <c r="M37" s="7" t="e">
        <f t="shared" ca="1" si="31"/>
        <v>#NAME?</v>
      </c>
      <c r="N37" s="35" t="e">
        <f t="shared" ca="1" si="32"/>
        <v>#NAME?</v>
      </c>
      <c r="O37" s="76">
        <f t="shared" ca="1" si="33"/>
        <v>1296</v>
      </c>
      <c r="P37" s="7" t="e">
        <f t="shared" ca="1" si="34"/>
        <v>#NAME?</v>
      </c>
      <c r="Q37" s="35" t="e">
        <f t="array" aca="1" ref="Q37" ca="1">IF(O37&lt;2,"",VAR(IF($H$3:$H$38=$M37,IF($I$3:$I$38=$N37,$J$3:$J$38,""))))</f>
        <v>#NAME?</v>
      </c>
    </row>
    <row r="38" spans="7:17" x14ac:dyDescent="0.25">
      <c r="G38" s="348" t="e">
        <f ca="1"/>
        <v>#NAME?</v>
      </c>
      <c r="H38" s="349" t="e">
        <f ca="1"/>
        <v>#NAME?</v>
      </c>
      <c r="I38" s="349" t="e">
        <f ca="1"/>
        <v>#NAME?</v>
      </c>
      <c r="J38" s="350" t="e">
        <f ca="1"/>
        <v>#NAME?</v>
      </c>
      <c r="L38" s="76"/>
      <c r="M38" s="7" t="e">
        <f t="shared" ca="1" si="31"/>
        <v>#NAME?</v>
      </c>
      <c r="N38" s="35" t="e">
        <f t="shared" ca="1" si="32"/>
        <v>#NAME?</v>
      </c>
      <c r="O38" s="76">
        <f t="shared" ca="1" si="33"/>
        <v>1296</v>
      </c>
      <c r="P38" s="7" t="e">
        <f t="shared" ca="1" si="34"/>
        <v>#NAME?</v>
      </c>
      <c r="Q38" s="35" t="e">
        <f t="array" aca="1" ref="Q38" ca="1">IF(O38&lt;2,"",VAR(IF($H$3:$H$38=$M38,IF($I$3:$I$38=$N38,$J$3:$J$38,""))))</f>
        <v>#NAME?</v>
      </c>
    </row>
    <row r="39" spans="7:17" x14ac:dyDescent="0.25">
      <c r="L39" s="76"/>
      <c r="M39" s="7" t="e">
        <f ca="1">$M$8</f>
        <v>#NAME?</v>
      </c>
      <c r="N39" s="35" t="e">
        <f ca="1">$N10</f>
        <v>#NAME?</v>
      </c>
      <c r="O39" s="76">
        <f t="shared" ca="1" si="33"/>
        <v>1296</v>
      </c>
      <c r="P39" s="7" t="e">
        <f t="shared" ca="1" si="34"/>
        <v>#NAME?</v>
      </c>
      <c r="Q39" s="35" t="e">
        <f t="array" aca="1" ref="Q39" ca="1">IF(O39&lt;2,"",VAR(IF($H$3:$H$38=$M39,IF($I$3:$I$38=$N39,$J$3:$J$38,""))))</f>
        <v>#NAME?</v>
      </c>
    </row>
    <row r="40" spans="7:17" x14ac:dyDescent="0.25">
      <c r="L40" s="76"/>
      <c r="M40" s="7" t="e">
        <f t="shared" ref="M40:M42" ca="1" si="35">$M$8</f>
        <v>#NAME?</v>
      </c>
      <c r="N40" s="35" t="e">
        <f t="shared" ref="N40:N42" ca="1" si="36">$N11</f>
        <v>#NAME?</v>
      </c>
      <c r="O40" s="76">
        <f t="shared" ca="1" si="33"/>
        <v>1296</v>
      </c>
      <c r="P40" s="7" t="e">
        <f t="shared" ca="1" si="34"/>
        <v>#NAME?</v>
      </c>
      <c r="Q40" s="35" t="e">
        <f t="array" aca="1" ref="Q40" ca="1">IF(O40&lt;2,"",VAR(IF($H$3:$H$38=$M40,IF($I$3:$I$38=$N40,$J$3:$J$38,""))))</f>
        <v>#NAME?</v>
      </c>
    </row>
    <row r="41" spans="7:17" x14ac:dyDescent="0.25">
      <c r="L41" s="76"/>
      <c r="M41" s="7" t="e">
        <f t="shared" ca="1" si="35"/>
        <v>#NAME?</v>
      </c>
      <c r="N41" s="35" t="e">
        <f t="shared" ca="1" si="36"/>
        <v>#NAME?</v>
      </c>
      <c r="O41" s="76">
        <f t="shared" ca="1" si="33"/>
        <v>1296</v>
      </c>
      <c r="P41" s="7" t="e">
        <f t="shared" ca="1" si="34"/>
        <v>#NAME?</v>
      </c>
      <c r="Q41" s="35" t="e">
        <f t="array" aca="1" ref="Q41" ca="1">IF(O41&lt;2,"",VAR(IF($H$3:$H$38=$M41,IF($I$3:$I$38=$N41,$J$3:$J$38,""))))</f>
        <v>#NAME?</v>
      </c>
    </row>
    <row r="42" spans="7:17" x14ac:dyDescent="0.25">
      <c r="L42" s="76"/>
      <c r="M42" s="7" t="e">
        <f t="shared" ca="1" si="35"/>
        <v>#NAME?</v>
      </c>
      <c r="N42" s="35" t="e">
        <f t="shared" ca="1" si="36"/>
        <v>#NAME?</v>
      </c>
      <c r="O42" s="76">
        <f t="shared" ca="1" si="33"/>
        <v>1296</v>
      </c>
      <c r="P42" s="7" t="e">
        <f t="shared" ca="1" si="34"/>
        <v>#NAME?</v>
      </c>
      <c r="Q42" s="35" t="e">
        <f t="array" aca="1" ref="Q42" ca="1">IF(O42&lt;2,"",VAR(IF($H$3:$H$38=$M42,IF($I$3:$I$38=$N42,$J$3:$J$38,""))))</f>
        <v>#NAME?</v>
      </c>
    </row>
    <row r="43" spans="7:17" x14ac:dyDescent="0.25">
      <c r="L43" s="76"/>
      <c r="M43" s="7" t="e">
        <f ca="1">$M$9</f>
        <v>#NAME?</v>
      </c>
      <c r="N43" s="35" t="e">
        <f ca="1">$N10</f>
        <v>#NAME?</v>
      </c>
      <c r="O43" s="76">
        <f t="shared" ca="1" si="33"/>
        <v>1296</v>
      </c>
      <c r="P43" s="7" t="e">
        <f t="shared" ca="1" si="34"/>
        <v>#NAME?</v>
      </c>
      <c r="Q43" s="35" t="e">
        <f t="array" aca="1" ref="Q43" ca="1">IF(O43&lt;2,"",VAR(IF($H$3:$H$38=$M43,IF($I$3:$I$38=$N43,$J$3:$J$38,""))))</f>
        <v>#NAME?</v>
      </c>
    </row>
    <row r="44" spans="7:17" x14ac:dyDescent="0.25">
      <c r="L44" s="76"/>
      <c r="M44" s="7" t="e">
        <f t="shared" ref="M44:M46" ca="1" si="37">$M$9</f>
        <v>#NAME?</v>
      </c>
      <c r="N44" s="35" t="e">
        <f t="shared" ref="N44:N46" ca="1" si="38">$N11</f>
        <v>#NAME?</v>
      </c>
      <c r="O44" s="76">
        <f t="shared" ca="1" si="33"/>
        <v>1296</v>
      </c>
      <c r="P44" s="7" t="e">
        <f t="shared" ca="1" si="34"/>
        <v>#NAME?</v>
      </c>
      <c r="Q44" s="35" t="e">
        <f t="array" aca="1" ref="Q44" ca="1">IF(O44&lt;2,"",VAR(IF($H$3:$H$38=$M44,IF($I$3:$I$38=$N44,$J$3:$J$38,""))))</f>
        <v>#NAME?</v>
      </c>
    </row>
    <row r="45" spans="7:17" x14ac:dyDescent="0.25">
      <c r="L45" s="76"/>
      <c r="M45" s="7" t="e">
        <f t="shared" ca="1" si="37"/>
        <v>#NAME?</v>
      </c>
      <c r="N45" s="35" t="e">
        <f t="shared" ca="1" si="38"/>
        <v>#NAME?</v>
      </c>
      <c r="O45" s="76">
        <f t="shared" ca="1" si="33"/>
        <v>1296</v>
      </c>
      <c r="P45" s="7" t="e">
        <f t="shared" ca="1" si="34"/>
        <v>#NAME?</v>
      </c>
      <c r="Q45" s="35" t="e">
        <f t="array" aca="1" ref="Q45" ca="1">IF(O45&lt;2,"",VAR(IF($H$3:$H$38=$M45,IF($I$3:$I$38=$N45,$J$3:$J$38,""))))</f>
        <v>#NAME?</v>
      </c>
    </row>
    <row r="46" spans="7:17" x14ac:dyDescent="0.25">
      <c r="L46" s="348"/>
      <c r="M46" s="349" t="e">
        <f t="shared" ca="1" si="37"/>
        <v>#NAME?</v>
      </c>
      <c r="N46" s="350" t="e">
        <f t="shared" ca="1" si="38"/>
        <v>#NAME?</v>
      </c>
      <c r="O46" s="348">
        <f t="shared" ca="1" si="33"/>
        <v>1296</v>
      </c>
      <c r="P46" s="349" t="e">
        <f t="shared" ca="1" si="34"/>
        <v>#NAME?</v>
      </c>
      <c r="Q46" s="350" t="e">
        <f t="array" aca="1" ref="Q46" ca="1">IF(O46&lt;2,"",VAR(IF($H$3:$H$38=$M46,IF($I$3:$I$38=$N46,$J$3:$J$38,""))))</f>
        <v>#NAME?</v>
      </c>
    </row>
    <row r="47" spans="7:17" x14ac:dyDescent="0.25">
      <c r="L47" s="402" t="e">
        <f ca="1">$L$4</f>
        <v>#NAME?</v>
      </c>
      <c r="M47" s="403" t="e">
        <f ca="1">M35</f>
        <v>#NAME?</v>
      </c>
      <c r="N47" s="404" t="e">
        <f ca="1">N35</f>
        <v>#NAME?</v>
      </c>
      <c r="O47" s="402">
        <f ca="1">COUNTIFS($G$3:$G$38,$L47,$H$3:$H$38,$M47,$I$3:$I$38,$N47)</f>
        <v>36</v>
      </c>
      <c r="P47" s="403" t="e">
        <f ca="1">IF(O47=0,"",AVERAGEIFS($J$3:$J$38,$G$3:$G$38,$L47,$H$3:$H$38,$M47,$I$3:$I$38,$N47))</f>
        <v>#NAME?</v>
      </c>
      <c r="Q47" s="404" t="e">
        <f t="array" aca="1" ref="Q47" ca="1">IF(O47&lt;2,"",VAR(IF($G$3:$G$38=$L47,IF($H$3:$H$38=$M47,IF($I$3:$I$38=$N47,$J$3:$J$38,"")))))</f>
        <v>#NAME?</v>
      </c>
    </row>
    <row r="48" spans="7:17" x14ac:dyDescent="0.25">
      <c r="L48" s="76" t="e">
        <f t="shared" ref="L48:L58" ca="1" si="39">$L$4</f>
        <v>#NAME?</v>
      </c>
      <c r="M48" s="7" t="e">
        <f t="shared" ref="M48:N63" ca="1" si="40">M36</f>
        <v>#NAME?</v>
      </c>
      <c r="N48" s="35" t="e">
        <f t="shared" ca="1" si="40"/>
        <v>#NAME?</v>
      </c>
      <c r="O48" s="76">
        <f t="shared" ref="O48:O82" ca="1" si="41">COUNTIFS($G$3:$G$38,$L48,$H$3:$H$38,$M48,$I$3:$I$38,$N48)</f>
        <v>36</v>
      </c>
      <c r="P48" s="7" t="e">
        <f t="shared" ref="P48:P82" ca="1" si="42">IF(O48=0,"",AVERAGEIFS($J$3:$J$38,$G$3:$G$38,$L48,$H$3:$H$38,$M48,$I$3:$I$38,$N48))</f>
        <v>#NAME?</v>
      </c>
      <c r="Q48" s="35" t="e">
        <f t="array" aca="1" ref="Q48" ca="1">IF(O48&lt;2,"",VAR(IF($G$3:$G$38=$L48,IF($H$3:$H$38=$M48,IF($I$3:$I$38=$N48,$J$3:$J$38,"")))))</f>
        <v>#NAME?</v>
      </c>
    </row>
    <row r="49" spans="12:17" x14ac:dyDescent="0.25">
      <c r="L49" s="76" t="e">
        <f t="shared" ca="1" si="39"/>
        <v>#NAME?</v>
      </c>
      <c r="M49" s="7" t="e">
        <f t="shared" ca="1" si="40"/>
        <v>#NAME?</v>
      </c>
      <c r="N49" s="35" t="e">
        <f t="shared" ca="1" si="40"/>
        <v>#NAME?</v>
      </c>
      <c r="O49" s="76">
        <f t="shared" ca="1" si="41"/>
        <v>36</v>
      </c>
      <c r="P49" s="7" t="e">
        <f t="shared" ca="1" si="42"/>
        <v>#NAME?</v>
      </c>
      <c r="Q49" s="35" t="e">
        <f t="array" aca="1" ref="Q49" ca="1">IF(O49&lt;2,"",VAR(IF($G$3:$G$38=$L49,IF($H$3:$H$38=$M49,IF($I$3:$I$38=$N49,$J$3:$J$38,"")))))</f>
        <v>#NAME?</v>
      </c>
    </row>
    <row r="50" spans="12:17" x14ac:dyDescent="0.25">
      <c r="L50" s="76" t="e">
        <f t="shared" ca="1" si="39"/>
        <v>#NAME?</v>
      </c>
      <c r="M50" s="7" t="e">
        <f t="shared" ca="1" si="40"/>
        <v>#NAME?</v>
      </c>
      <c r="N50" s="35" t="e">
        <f t="shared" ca="1" si="40"/>
        <v>#NAME?</v>
      </c>
      <c r="O50" s="76">
        <f t="shared" ca="1" si="41"/>
        <v>36</v>
      </c>
      <c r="P50" s="7" t="e">
        <f t="shared" ca="1" si="42"/>
        <v>#NAME?</v>
      </c>
      <c r="Q50" s="35" t="e">
        <f t="array" aca="1" ref="Q50" ca="1">IF(O50&lt;2,"",VAR(IF($G$3:$G$38=$L50,IF($H$3:$H$38=$M50,IF($I$3:$I$38=$N50,$J$3:$J$38,"")))))</f>
        <v>#NAME?</v>
      </c>
    </row>
    <row r="51" spans="12:17" x14ac:dyDescent="0.25">
      <c r="L51" s="76" t="e">
        <f t="shared" ca="1" si="39"/>
        <v>#NAME?</v>
      </c>
      <c r="M51" s="7" t="e">
        <f t="shared" ca="1" si="40"/>
        <v>#NAME?</v>
      </c>
      <c r="N51" s="35" t="e">
        <f t="shared" ca="1" si="40"/>
        <v>#NAME?</v>
      </c>
      <c r="O51" s="76">
        <f t="shared" ca="1" si="41"/>
        <v>36</v>
      </c>
      <c r="P51" s="7" t="e">
        <f t="shared" ca="1" si="42"/>
        <v>#NAME?</v>
      </c>
      <c r="Q51" s="35" t="e">
        <f t="array" aca="1" ref="Q51" ca="1">IF(O51&lt;2,"",VAR(IF($G$3:$G$38=$L51,IF($H$3:$H$38=$M51,IF($I$3:$I$38=$N51,$J$3:$J$38,"")))))</f>
        <v>#NAME?</v>
      </c>
    </row>
    <row r="52" spans="12:17" x14ac:dyDescent="0.25">
      <c r="L52" s="76" t="e">
        <f t="shared" ca="1" si="39"/>
        <v>#NAME?</v>
      </c>
      <c r="M52" s="7" t="e">
        <f t="shared" ca="1" si="40"/>
        <v>#NAME?</v>
      </c>
      <c r="N52" s="35" t="e">
        <f t="shared" ca="1" si="40"/>
        <v>#NAME?</v>
      </c>
      <c r="O52" s="76">
        <f t="shared" ca="1" si="41"/>
        <v>36</v>
      </c>
      <c r="P52" s="7" t="e">
        <f t="shared" ca="1" si="42"/>
        <v>#NAME?</v>
      </c>
      <c r="Q52" s="35" t="e">
        <f t="array" aca="1" ref="Q52" ca="1">IF(O52&lt;2,"",VAR(IF($G$3:$G$38=$L52,IF($H$3:$H$38=$M52,IF($I$3:$I$38=$N52,$J$3:$J$38,"")))))</f>
        <v>#NAME?</v>
      </c>
    </row>
    <row r="53" spans="12:17" x14ac:dyDescent="0.25">
      <c r="L53" s="76" t="e">
        <f t="shared" ca="1" si="39"/>
        <v>#NAME?</v>
      </c>
      <c r="M53" s="7" t="e">
        <f t="shared" ca="1" si="40"/>
        <v>#NAME?</v>
      </c>
      <c r="N53" s="35" t="e">
        <f t="shared" ca="1" si="40"/>
        <v>#NAME?</v>
      </c>
      <c r="O53" s="76">
        <f t="shared" ca="1" si="41"/>
        <v>36</v>
      </c>
      <c r="P53" s="7" t="e">
        <f t="shared" ca="1" si="42"/>
        <v>#NAME?</v>
      </c>
      <c r="Q53" s="35" t="e">
        <f t="array" aca="1" ref="Q53" ca="1">IF(O53&lt;2,"",VAR(IF($G$3:$G$38=$L53,IF($H$3:$H$38=$M53,IF($I$3:$I$38=$N53,$J$3:$J$38,"")))))</f>
        <v>#NAME?</v>
      </c>
    </row>
    <row r="54" spans="12:17" x14ac:dyDescent="0.25">
      <c r="L54" s="76" t="e">
        <f t="shared" ca="1" si="39"/>
        <v>#NAME?</v>
      </c>
      <c r="M54" s="7" t="e">
        <f t="shared" ca="1" si="40"/>
        <v>#NAME?</v>
      </c>
      <c r="N54" s="35" t="e">
        <f t="shared" ca="1" si="40"/>
        <v>#NAME?</v>
      </c>
      <c r="O54" s="76">
        <f t="shared" ca="1" si="41"/>
        <v>36</v>
      </c>
      <c r="P54" s="7" t="e">
        <f t="shared" ca="1" si="42"/>
        <v>#NAME?</v>
      </c>
      <c r="Q54" s="35" t="e">
        <f t="array" aca="1" ref="Q54" ca="1">IF(O54&lt;2,"",VAR(IF($G$3:$G$38=$L54,IF($H$3:$H$38=$M54,IF($I$3:$I$38=$N54,$J$3:$J$38,"")))))</f>
        <v>#NAME?</v>
      </c>
    </row>
    <row r="55" spans="12:17" x14ac:dyDescent="0.25">
      <c r="L55" s="76" t="e">
        <f t="shared" ca="1" si="39"/>
        <v>#NAME?</v>
      </c>
      <c r="M55" s="7" t="e">
        <f t="shared" ca="1" si="40"/>
        <v>#NAME?</v>
      </c>
      <c r="N55" s="35" t="e">
        <f t="shared" ca="1" si="40"/>
        <v>#NAME?</v>
      </c>
      <c r="O55" s="76">
        <f t="shared" ca="1" si="41"/>
        <v>36</v>
      </c>
      <c r="P55" s="7" t="e">
        <f t="shared" ca="1" si="42"/>
        <v>#NAME?</v>
      </c>
      <c r="Q55" s="35" t="e">
        <f t="array" aca="1" ref="Q55" ca="1">IF(O55&lt;2,"",VAR(IF($G$3:$G$38=$L55,IF($H$3:$H$38=$M55,IF($I$3:$I$38=$N55,$J$3:$J$38,"")))))</f>
        <v>#NAME?</v>
      </c>
    </row>
    <row r="56" spans="12:17" x14ac:dyDescent="0.25">
      <c r="L56" s="76" t="e">
        <f t="shared" ca="1" si="39"/>
        <v>#NAME?</v>
      </c>
      <c r="M56" s="7" t="e">
        <f t="shared" ca="1" si="40"/>
        <v>#NAME?</v>
      </c>
      <c r="N56" s="35" t="e">
        <f t="shared" ca="1" si="40"/>
        <v>#NAME?</v>
      </c>
      <c r="O56" s="76">
        <f t="shared" ca="1" si="41"/>
        <v>36</v>
      </c>
      <c r="P56" s="7" t="e">
        <f t="shared" ca="1" si="42"/>
        <v>#NAME?</v>
      </c>
      <c r="Q56" s="35" t="e">
        <f t="array" aca="1" ref="Q56" ca="1">IF(O56&lt;2,"",VAR(IF($G$3:$G$38=$L56,IF($H$3:$H$38=$M56,IF($I$3:$I$38=$N56,$J$3:$J$38,"")))))</f>
        <v>#NAME?</v>
      </c>
    </row>
    <row r="57" spans="12:17" x14ac:dyDescent="0.25">
      <c r="L57" s="76" t="e">
        <f t="shared" ca="1" si="39"/>
        <v>#NAME?</v>
      </c>
      <c r="M57" s="7" t="e">
        <f t="shared" ca="1" si="40"/>
        <v>#NAME?</v>
      </c>
      <c r="N57" s="35" t="e">
        <f t="shared" ca="1" si="40"/>
        <v>#NAME?</v>
      </c>
      <c r="O57" s="76">
        <f t="shared" ca="1" si="41"/>
        <v>36</v>
      </c>
      <c r="P57" s="7" t="e">
        <f t="shared" ca="1" si="42"/>
        <v>#NAME?</v>
      </c>
      <c r="Q57" s="35" t="e">
        <f t="array" aca="1" ref="Q57" ca="1">IF(O57&lt;2,"",VAR(IF($G$3:$G$38=$L57,IF($H$3:$H$38=$M57,IF($I$3:$I$38=$N57,$J$3:$J$38,"")))))</f>
        <v>#NAME?</v>
      </c>
    </row>
    <row r="58" spans="12:17" x14ac:dyDescent="0.25">
      <c r="L58" s="76" t="e">
        <f t="shared" ca="1" si="39"/>
        <v>#NAME?</v>
      </c>
      <c r="M58" s="7" t="e">
        <f t="shared" ca="1" si="40"/>
        <v>#NAME?</v>
      </c>
      <c r="N58" s="35" t="e">
        <f t="shared" ca="1" si="40"/>
        <v>#NAME?</v>
      </c>
      <c r="O58" s="76">
        <f t="shared" ca="1" si="41"/>
        <v>36</v>
      </c>
      <c r="P58" s="7" t="e">
        <f t="shared" ca="1" si="42"/>
        <v>#NAME?</v>
      </c>
      <c r="Q58" s="35" t="e">
        <f t="array" aca="1" ref="Q58" ca="1">IF(O58&lt;2,"",VAR(IF($G$3:$G$38=$L58,IF($H$3:$H$38=$M58,IF($I$3:$I$38=$N58,$J$3:$J$38,"")))))</f>
        <v>#NAME?</v>
      </c>
    </row>
    <row r="59" spans="12:17" x14ac:dyDescent="0.25">
      <c r="L59" s="76" t="e">
        <f ca="1">$L$5</f>
        <v>#NAME?</v>
      </c>
      <c r="M59" s="7" t="e">
        <f t="shared" ca="1" si="40"/>
        <v>#NAME?</v>
      </c>
      <c r="N59" s="35" t="e">
        <f t="shared" ca="1" si="40"/>
        <v>#NAME?</v>
      </c>
      <c r="O59" s="76">
        <f t="shared" ca="1" si="41"/>
        <v>36</v>
      </c>
      <c r="P59" s="7" t="e">
        <f t="shared" ca="1" si="42"/>
        <v>#NAME?</v>
      </c>
      <c r="Q59" s="35" t="e">
        <f t="array" aca="1" ref="Q59" ca="1">IF(O59&lt;2,"",VAR(IF($G$3:$G$38=$L59,IF($H$3:$H$38=$M59,IF($I$3:$I$38=$N59,$J$3:$J$38,"")))))</f>
        <v>#NAME?</v>
      </c>
    </row>
    <row r="60" spans="12:17" x14ac:dyDescent="0.25">
      <c r="L60" s="76" t="e">
        <f t="shared" ref="L60:L70" ca="1" si="43">$L$5</f>
        <v>#NAME?</v>
      </c>
      <c r="M60" s="7" t="e">
        <f t="shared" ca="1" si="40"/>
        <v>#NAME?</v>
      </c>
      <c r="N60" s="35" t="e">
        <f t="shared" ca="1" si="40"/>
        <v>#NAME?</v>
      </c>
      <c r="O60" s="76">
        <f t="shared" ca="1" si="41"/>
        <v>36</v>
      </c>
      <c r="P60" s="7" t="e">
        <f t="shared" ca="1" si="42"/>
        <v>#NAME?</v>
      </c>
      <c r="Q60" s="35" t="e">
        <f t="array" aca="1" ref="Q60" ca="1">IF(O60&lt;2,"",VAR(IF($G$3:$G$38=$L60,IF($H$3:$H$38=$M60,IF($I$3:$I$38=$N60,$J$3:$J$38,"")))))</f>
        <v>#NAME?</v>
      </c>
    </row>
    <row r="61" spans="12:17" x14ac:dyDescent="0.25">
      <c r="L61" s="76" t="e">
        <f t="shared" ca="1" si="43"/>
        <v>#NAME?</v>
      </c>
      <c r="M61" s="7" t="e">
        <f t="shared" ca="1" si="40"/>
        <v>#NAME?</v>
      </c>
      <c r="N61" s="35" t="e">
        <f t="shared" ca="1" si="40"/>
        <v>#NAME?</v>
      </c>
      <c r="O61" s="76">
        <f t="shared" ca="1" si="41"/>
        <v>36</v>
      </c>
      <c r="P61" s="7" t="e">
        <f t="shared" ca="1" si="42"/>
        <v>#NAME?</v>
      </c>
      <c r="Q61" s="35" t="e">
        <f t="array" aca="1" ref="Q61" ca="1">IF(O61&lt;2,"",VAR(IF($G$3:$G$38=$L61,IF($H$3:$H$38=$M61,IF($I$3:$I$38=$N61,$J$3:$J$38,"")))))</f>
        <v>#NAME?</v>
      </c>
    </row>
    <row r="62" spans="12:17" x14ac:dyDescent="0.25">
      <c r="L62" s="76" t="e">
        <f t="shared" ca="1" si="43"/>
        <v>#NAME?</v>
      </c>
      <c r="M62" s="7" t="e">
        <f t="shared" ca="1" si="40"/>
        <v>#NAME?</v>
      </c>
      <c r="N62" s="35" t="e">
        <f t="shared" ca="1" si="40"/>
        <v>#NAME?</v>
      </c>
      <c r="O62" s="76">
        <f t="shared" ca="1" si="41"/>
        <v>36</v>
      </c>
      <c r="P62" s="7" t="e">
        <f t="shared" ca="1" si="42"/>
        <v>#NAME?</v>
      </c>
      <c r="Q62" s="35" t="e">
        <f t="array" aca="1" ref="Q62" ca="1">IF(O62&lt;2,"",VAR(IF($G$3:$G$38=$L62,IF($H$3:$H$38=$M62,IF($I$3:$I$38=$N62,$J$3:$J$38,"")))))</f>
        <v>#NAME?</v>
      </c>
    </row>
    <row r="63" spans="12:17" x14ac:dyDescent="0.25">
      <c r="L63" s="76" t="e">
        <f t="shared" ca="1" si="43"/>
        <v>#NAME?</v>
      </c>
      <c r="M63" s="7" t="e">
        <f t="shared" ca="1" si="40"/>
        <v>#NAME?</v>
      </c>
      <c r="N63" s="35" t="e">
        <f t="shared" ca="1" si="40"/>
        <v>#NAME?</v>
      </c>
      <c r="O63" s="76">
        <f t="shared" ca="1" si="41"/>
        <v>36</v>
      </c>
      <c r="P63" s="7" t="e">
        <f t="shared" ca="1" si="42"/>
        <v>#NAME?</v>
      </c>
      <c r="Q63" s="35" t="e">
        <f t="array" aca="1" ref="Q63" ca="1">IF(O63&lt;2,"",VAR(IF($G$3:$G$38=$L63,IF($H$3:$H$38=$M63,IF($I$3:$I$38=$N63,$J$3:$J$38,"")))))</f>
        <v>#NAME?</v>
      </c>
    </row>
    <row r="64" spans="12:17" x14ac:dyDescent="0.25">
      <c r="L64" s="76" t="e">
        <f t="shared" ca="1" si="43"/>
        <v>#NAME?</v>
      </c>
      <c r="M64" s="7" t="e">
        <f t="shared" ref="M64:N79" ca="1" si="44">M52</f>
        <v>#NAME?</v>
      </c>
      <c r="N64" s="35" t="e">
        <f t="shared" ca="1" si="44"/>
        <v>#NAME?</v>
      </c>
      <c r="O64" s="76">
        <f t="shared" ca="1" si="41"/>
        <v>36</v>
      </c>
      <c r="P64" s="7" t="e">
        <f t="shared" ca="1" si="42"/>
        <v>#NAME?</v>
      </c>
      <c r="Q64" s="35" t="e">
        <f t="array" aca="1" ref="Q64" ca="1">IF(O64&lt;2,"",VAR(IF($G$3:$G$38=$L64,IF($H$3:$H$38=$M64,IF($I$3:$I$38=$N64,$J$3:$J$38,"")))))</f>
        <v>#NAME?</v>
      </c>
    </row>
    <row r="65" spans="12:17" x14ac:dyDescent="0.25">
      <c r="L65" s="76" t="e">
        <f t="shared" ca="1" si="43"/>
        <v>#NAME?</v>
      </c>
      <c r="M65" s="7" t="e">
        <f t="shared" ca="1" si="44"/>
        <v>#NAME?</v>
      </c>
      <c r="N65" s="35" t="e">
        <f t="shared" ca="1" si="44"/>
        <v>#NAME?</v>
      </c>
      <c r="O65" s="76">
        <f t="shared" ca="1" si="41"/>
        <v>36</v>
      </c>
      <c r="P65" s="7" t="e">
        <f t="shared" ca="1" si="42"/>
        <v>#NAME?</v>
      </c>
      <c r="Q65" s="35" t="e">
        <f t="array" aca="1" ref="Q65" ca="1">IF(O65&lt;2,"",VAR(IF($G$3:$G$38=$L65,IF($H$3:$H$38=$M65,IF($I$3:$I$38=$N65,$J$3:$J$38,"")))))</f>
        <v>#NAME?</v>
      </c>
    </row>
    <row r="66" spans="12:17" x14ac:dyDescent="0.25">
      <c r="L66" s="76" t="e">
        <f t="shared" ca="1" si="43"/>
        <v>#NAME?</v>
      </c>
      <c r="M66" s="7" t="e">
        <f t="shared" ca="1" si="44"/>
        <v>#NAME?</v>
      </c>
      <c r="N66" s="35" t="e">
        <f t="shared" ca="1" si="44"/>
        <v>#NAME?</v>
      </c>
      <c r="O66" s="76">
        <f t="shared" ca="1" si="41"/>
        <v>36</v>
      </c>
      <c r="P66" s="7" t="e">
        <f t="shared" ca="1" si="42"/>
        <v>#NAME?</v>
      </c>
      <c r="Q66" s="35" t="e">
        <f t="array" aca="1" ref="Q66" ca="1">IF(O66&lt;2,"",VAR(IF($G$3:$G$38=$L66,IF($H$3:$H$38=$M66,IF($I$3:$I$38=$N66,$J$3:$J$38,"")))))</f>
        <v>#NAME?</v>
      </c>
    </row>
    <row r="67" spans="12:17" x14ac:dyDescent="0.25">
      <c r="L67" s="76" t="e">
        <f t="shared" ca="1" si="43"/>
        <v>#NAME?</v>
      </c>
      <c r="M67" s="7" t="e">
        <f t="shared" ca="1" si="44"/>
        <v>#NAME?</v>
      </c>
      <c r="N67" s="35" t="e">
        <f t="shared" ca="1" si="44"/>
        <v>#NAME?</v>
      </c>
      <c r="O67" s="76">
        <f t="shared" ca="1" si="41"/>
        <v>36</v>
      </c>
      <c r="P67" s="7" t="e">
        <f t="shared" ca="1" si="42"/>
        <v>#NAME?</v>
      </c>
      <c r="Q67" s="35" t="e">
        <f t="array" aca="1" ref="Q67" ca="1">IF(O67&lt;2,"",VAR(IF($G$3:$G$38=$L67,IF($H$3:$H$38=$M67,IF($I$3:$I$38=$N67,$J$3:$J$38,"")))))</f>
        <v>#NAME?</v>
      </c>
    </row>
    <row r="68" spans="12:17" x14ac:dyDescent="0.25">
      <c r="L68" s="76" t="e">
        <f t="shared" ca="1" si="43"/>
        <v>#NAME?</v>
      </c>
      <c r="M68" s="7" t="e">
        <f t="shared" ca="1" si="44"/>
        <v>#NAME?</v>
      </c>
      <c r="N68" s="35" t="e">
        <f t="shared" ca="1" si="44"/>
        <v>#NAME?</v>
      </c>
      <c r="O68" s="76">
        <f t="shared" ca="1" si="41"/>
        <v>36</v>
      </c>
      <c r="P68" s="7" t="e">
        <f t="shared" ca="1" si="42"/>
        <v>#NAME?</v>
      </c>
      <c r="Q68" s="35" t="e">
        <f t="array" aca="1" ref="Q68" ca="1">IF(O68&lt;2,"",VAR(IF($G$3:$G$38=$L68,IF($H$3:$H$38=$M68,IF($I$3:$I$38=$N68,$J$3:$J$38,"")))))</f>
        <v>#NAME?</v>
      </c>
    </row>
    <row r="69" spans="12:17" x14ac:dyDescent="0.25">
      <c r="L69" s="76" t="e">
        <f t="shared" ca="1" si="43"/>
        <v>#NAME?</v>
      </c>
      <c r="M69" s="7" t="e">
        <f t="shared" ca="1" si="44"/>
        <v>#NAME?</v>
      </c>
      <c r="N69" s="35" t="e">
        <f t="shared" ca="1" si="44"/>
        <v>#NAME?</v>
      </c>
      <c r="O69" s="76">
        <f t="shared" ca="1" si="41"/>
        <v>36</v>
      </c>
      <c r="P69" s="7" t="e">
        <f t="shared" ca="1" si="42"/>
        <v>#NAME?</v>
      </c>
      <c r="Q69" s="35" t="e">
        <f t="array" aca="1" ref="Q69" ca="1">IF(O69&lt;2,"",VAR(IF($G$3:$G$38=$L69,IF($H$3:$H$38=$M69,IF($I$3:$I$38=$N69,$J$3:$J$38,"")))))</f>
        <v>#NAME?</v>
      </c>
    </row>
    <row r="70" spans="12:17" x14ac:dyDescent="0.25">
      <c r="L70" s="76" t="e">
        <f t="shared" ca="1" si="43"/>
        <v>#NAME?</v>
      </c>
      <c r="M70" s="7" t="e">
        <f t="shared" ca="1" si="44"/>
        <v>#NAME?</v>
      </c>
      <c r="N70" s="35" t="e">
        <f t="shared" ca="1" si="44"/>
        <v>#NAME?</v>
      </c>
      <c r="O70" s="76">
        <f t="shared" ca="1" si="41"/>
        <v>36</v>
      </c>
      <c r="P70" s="7" t="e">
        <f t="shared" ca="1" si="42"/>
        <v>#NAME?</v>
      </c>
      <c r="Q70" s="35" t="e">
        <f t="array" aca="1" ref="Q70" ca="1">IF(O70&lt;2,"",VAR(IF($G$3:$G$38=$L70,IF($H$3:$H$38=$M70,IF($I$3:$I$38=$N70,$J$3:$J$38,"")))))</f>
        <v>#NAME?</v>
      </c>
    </row>
    <row r="71" spans="12:17" x14ac:dyDescent="0.25">
      <c r="L71" s="76" t="e">
        <f ca="1">$L$6</f>
        <v>#NAME?</v>
      </c>
      <c r="M71" s="7" t="e">
        <f t="shared" ca="1" si="44"/>
        <v>#NAME?</v>
      </c>
      <c r="N71" s="35" t="e">
        <f t="shared" ca="1" si="44"/>
        <v>#NAME?</v>
      </c>
      <c r="O71" s="76">
        <f t="shared" ca="1" si="41"/>
        <v>36</v>
      </c>
      <c r="P71" s="7" t="e">
        <f t="shared" ca="1" si="42"/>
        <v>#NAME?</v>
      </c>
      <c r="Q71" s="35" t="e">
        <f t="array" aca="1" ref="Q71" ca="1">IF(O71&lt;2,"",VAR(IF($G$3:$G$38=$L71,IF($H$3:$H$38=$M71,IF($I$3:$I$38=$N71,$J$3:$J$38,"")))))</f>
        <v>#NAME?</v>
      </c>
    </row>
    <row r="72" spans="12:17" x14ac:dyDescent="0.25">
      <c r="L72" s="76" t="e">
        <f t="shared" ref="L72:L82" ca="1" si="45">$L$6</f>
        <v>#NAME?</v>
      </c>
      <c r="M72" s="7" t="e">
        <f t="shared" ca="1" si="44"/>
        <v>#NAME?</v>
      </c>
      <c r="N72" s="35" t="e">
        <f t="shared" ca="1" si="44"/>
        <v>#NAME?</v>
      </c>
      <c r="O72" s="76">
        <f t="shared" ca="1" si="41"/>
        <v>36</v>
      </c>
      <c r="P72" s="7" t="e">
        <f t="shared" ca="1" si="42"/>
        <v>#NAME?</v>
      </c>
      <c r="Q72" s="35" t="e">
        <f t="array" aca="1" ref="Q72" ca="1">IF(O72&lt;2,"",VAR(IF($G$3:$G$38=$L72,IF($H$3:$H$38=$M72,IF($I$3:$I$38=$N72,$J$3:$J$38,"")))))</f>
        <v>#NAME?</v>
      </c>
    </row>
    <row r="73" spans="12:17" x14ac:dyDescent="0.25">
      <c r="L73" s="76" t="e">
        <f t="shared" ca="1" si="45"/>
        <v>#NAME?</v>
      </c>
      <c r="M73" s="7" t="e">
        <f t="shared" ca="1" si="44"/>
        <v>#NAME?</v>
      </c>
      <c r="N73" s="35" t="e">
        <f t="shared" ca="1" si="44"/>
        <v>#NAME?</v>
      </c>
      <c r="O73" s="76">
        <f t="shared" ca="1" si="41"/>
        <v>36</v>
      </c>
      <c r="P73" s="7" t="e">
        <f t="shared" ca="1" si="42"/>
        <v>#NAME?</v>
      </c>
      <c r="Q73" s="35" t="e">
        <f t="array" aca="1" ref="Q73" ca="1">IF(O73&lt;2,"",VAR(IF($G$3:$G$38=$L73,IF($H$3:$H$38=$M73,IF($I$3:$I$38=$N73,$J$3:$J$38,"")))))</f>
        <v>#NAME?</v>
      </c>
    </row>
    <row r="74" spans="12:17" x14ac:dyDescent="0.25">
      <c r="L74" s="76" t="e">
        <f t="shared" ca="1" si="45"/>
        <v>#NAME?</v>
      </c>
      <c r="M74" s="7" t="e">
        <f t="shared" ca="1" si="44"/>
        <v>#NAME?</v>
      </c>
      <c r="N74" s="35" t="e">
        <f t="shared" ca="1" si="44"/>
        <v>#NAME?</v>
      </c>
      <c r="O74" s="76">
        <f t="shared" ca="1" si="41"/>
        <v>36</v>
      </c>
      <c r="P74" s="7" t="e">
        <f t="shared" ca="1" si="42"/>
        <v>#NAME?</v>
      </c>
      <c r="Q74" s="35" t="e">
        <f t="array" aca="1" ref="Q74" ca="1">IF(O74&lt;2,"",VAR(IF($G$3:$G$38=$L74,IF($H$3:$H$38=$M74,IF($I$3:$I$38=$N74,$J$3:$J$38,"")))))</f>
        <v>#NAME?</v>
      </c>
    </row>
    <row r="75" spans="12:17" x14ac:dyDescent="0.25">
      <c r="L75" s="76" t="e">
        <f t="shared" ca="1" si="45"/>
        <v>#NAME?</v>
      </c>
      <c r="M75" s="7" t="e">
        <f t="shared" ca="1" si="44"/>
        <v>#NAME?</v>
      </c>
      <c r="N75" s="35" t="e">
        <f t="shared" ca="1" si="44"/>
        <v>#NAME?</v>
      </c>
      <c r="O75" s="76">
        <f t="shared" ca="1" si="41"/>
        <v>36</v>
      </c>
      <c r="P75" s="7" t="e">
        <f t="shared" ca="1" si="42"/>
        <v>#NAME?</v>
      </c>
      <c r="Q75" s="35" t="e">
        <f t="array" aca="1" ref="Q75" ca="1">IF(O75&lt;2,"",VAR(IF($G$3:$G$38=$L75,IF($H$3:$H$38=$M75,IF($I$3:$I$38=$N75,$J$3:$J$38,"")))))</f>
        <v>#NAME?</v>
      </c>
    </row>
    <row r="76" spans="12:17" x14ac:dyDescent="0.25">
      <c r="L76" s="76" t="e">
        <f t="shared" ca="1" si="45"/>
        <v>#NAME?</v>
      </c>
      <c r="M76" s="7" t="e">
        <f t="shared" ca="1" si="44"/>
        <v>#NAME?</v>
      </c>
      <c r="N76" s="35" t="e">
        <f t="shared" ca="1" si="44"/>
        <v>#NAME?</v>
      </c>
      <c r="O76" s="76">
        <f t="shared" ca="1" si="41"/>
        <v>36</v>
      </c>
      <c r="P76" s="7" t="e">
        <f t="shared" ca="1" si="42"/>
        <v>#NAME?</v>
      </c>
      <c r="Q76" s="35" t="e">
        <f t="array" aca="1" ref="Q76" ca="1">IF(O76&lt;2,"",VAR(IF($G$3:$G$38=$L76,IF($H$3:$H$38=$M76,IF($I$3:$I$38=$N76,$J$3:$J$38,"")))))</f>
        <v>#NAME?</v>
      </c>
    </row>
    <row r="77" spans="12:17" x14ac:dyDescent="0.25">
      <c r="L77" s="76" t="e">
        <f t="shared" ca="1" si="45"/>
        <v>#NAME?</v>
      </c>
      <c r="M77" s="7" t="e">
        <f t="shared" ca="1" si="44"/>
        <v>#NAME?</v>
      </c>
      <c r="N77" s="35" t="e">
        <f t="shared" ca="1" si="44"/>
        <v>#NAME?</v>
      </c>
      <c r="O77" s="76">
        <f t="shared" ca="1" si="41"/>
        <v>36</v>
      </c>
      <c r="P77" s="7" t="e">
        <f t="shared" ca="1" si="42"/>
        <v>#NAME?</v>
      </c>
      <c r="Q77" s="35" t="e">
        <f t="array" aca="1" ref="Q77" ca="1">IF(O77&lt;2,"",VAR(IF($G$3:$G$38=$L77,IF($H$3:$H$38=$M77,IF($I$3:$I$38=$N77,$J$3:$J$38,"")))))</f>
        <v>#NAME?</v>
      </c>
    </row>
    <row r="78" spans="12:17" x14ac:dyDescent="0.25">
      <c r="L78" s="76" t="e">
        <f t="shared" ca="1" si="45"/>
        <v>#NAME?</v>
      </c>
      <c r="M78" s="7" t="e">
        <f t="shared" ca="1" si="44"/>
        <v>#NAME?</v>
      </c>
      <c r="N78" s="35" t="e">
        <f t="shared" ca="1" si="44"/>
        <v>#NAME?</v>
      </c>
      <c r="O78" s="76">
        <f t="shared" ca="1" si="41"/>
        <v>36</v>
      </c>
      <c r="P78" s="7" t="e">
        <f t="shared" ca="1" si="42"/>
        <v>#NAME?</v>
      </c>
      <c r="Q78" s="35" t="e">
        <f t="array" aca="1" ref="Q78" ca="1">IF(O78&lt;2,"",VAR(IF($G$3:$G$38=$L78,IF($H$3:$H$38=$M78,IF($I$3:$I$38=$N78,$J$3:$J$38,"")))))</f>
        <v>#NAME?</v>
      </c>
    </row>
    <row r="79" spans="12:17" x14ac:dyDescent="0.25">
      <c r="L79" s="76" t="e">
        <f t="shared" ca="1" si="45"/>
        <v>#NAME?</v>
      </c>
      <c r="M79" s="7" t="e">
        <f t="shared" ca="1" si="44"/>
        <v>#NAME?</v>
      </c>
      <c r="N79" s="35" t="e">
        <f t="shared" ca="1" si="44"/>
        <v>#NAME?</v>
      </c>
      <c r="O79" s="76">
        <f t="shared" ca="1" si="41"/>
        <v>36</v>
      </c>
      <c r="P79" s="7" t="e">
        <f t="shared" ca="1" si="42"/>
        <v>#NAME?</v>
      </c>
      <c r="Q79" s="35" t="e">
        <f t="array" aca="1" ref="Q79" ca="1">IF(O79&lt;2,"",VAR(IF($G$3:$G$38=$L79,IF($H$3:$H$38=$M79,IF($I$3:$I$38=$N79,$J$3:$J$38,"")))))</f>
        <v>#NAME?</v>
      </c>
    </row>
    <row r="80" spans="12:17" x14ac:dyDescent="0.25">
      <c r="L80" s="76" t="e">
        <f t="shared" ca="1" si="45"/>
        <v>#NAME?</v>
      </c>
      <c r="M80" s="7" t="e">
        <f t="shared" ref="M80:N82" ca="1" si="46">M68</f>
        <v>#NAME?</v>
      </c>
      <c r="N80" s="35" t="e">
        <f t="shared" ca="1" si="46"/>
        <v>#NAME?</v>
      </c>
      <c r="O80" s="76">
        <f t="shared" ca="1" si="41"/>
        <v>36</v>
      </c>
      <c r="P80" s="7" t="e">
        <f t="shared" ca="1" si="42"/>
        <v>#NAME?</v>
      </c>
      <c r="Q80" s="35" t="e">
        <f t="array" aca="1" ref="Q80" ca="1">IF(O80&lt;2,"",VAR(IF($G$3:$G$38=$L80,IF($H$3:$H$38=$M80,IF($I$3:$I$38=$N80,$J$3:$J$38,"")))))</f>
        <v>#NAME?</v>
      </c>
    </row>
    <row r="81" spans="12:17" x14ac:dyDescent="0.25">
      <c r="L81" s="76" t="e">
        <f t="shared" ca="1" si="45"/>
        <v>#NAME?</v>
      </c>
      <c r="M81" s="7" t="e">
        <f t="shared" ca="1" si="46"/>
        <v>#NAME?</v>
      </c>
      <c r="N81" s="35" t="e">
        <f t="shared" ca="1" si="46"/>
        <v>#NAME?</v>
      </c>
      <c r="O81" s="76">
        <f t="shared" ca="1" si="41"/>
        <v>36</v>
      </c>
      <c r="P81" s="7" t="e">
        <f t="shared" ca="1" si="42"/>
        <v>#NAME?</v>
      </c>
      <c r="Q81" s="35" t="e">
        <f t="array" aca="1" ref="Q81" ca="1">IF(O81&lt;2,"",VAR(IF($G$3:$G$38=$L81,IF($H$3:$H$38=$M81,IF($I$3:$I$38=$N81,$J$3:$J$38,"")))))</f>
        <v>#NAME?</v>
      </c>
    </row>
    <row r="82" spans="12:17" x14ac:dyDescent="0.25">
      <c r="L82" s="348" t="e">
        <f t="shared" ca="1" si="45"/>
        <v>#NAME?</v>
      </c>
      <c r="M82" s="349" t="e">
        <f t="shared" ca="1" si="46"/>
        <v>#NAME?</v>
      </c>
      <c r="N82" s="350" t="e">
        <f t="shared" ca="1" si="46"/>
        <v>#NAME?</v>
      </c>
      <c r="O82" s="348">
        <f t="shared" ca="1" si="41"/>
        <v>36</v>
      </c>
      <c r="P82" s="349" t="e">
        <f t="shared" ca="1" si="42"/>
        <v>#NAME?</v>
      </c>
      <c r="Q82" s="350" t="e">
        <f t="array" aca="1" ref="Q82" ca="1">IF(O82&lt;2,"",VAR(IF($G$3:$G$38=$L82,IF($H$3:$H$38=$M82,IF($I$3:$I$38=$N82,$J$3:$J$38,"")))))</f>
        <v>#NAME?</v>
      </c>
    </row>
    <row r="83" spans="12:17" x14ac:dyDescent="0.2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BM83"/>
  <sheetViews>
    <sheetView topLeftCell="AT1" workbookViewId="0"/>
  </sheetViews>
  <sheetFormatPr defaultRowHeight="15" x14ac:dyDescent="0.25"/>
  <cols>
    <col min="1" max="1" width="5" customWidth="1"/>
    <col min="2" max="5" width="7.5703125" customWidth="1"/>
  </cols>
  <sheetData>
    <row r="1" spans="1:65" ht="15.75" thickBot="1" x14ac:dyDescent="0.3">
      <c r="A1" s="1" t="s">
        <v>704</v>
      </c>
      <c r="G1" t="s">
        <v>501</v>
      </c>
      <c r="L1" t="s">
        <v>12</v>
      </c>
      <c r="S1" t="s">
        <v>720</v>
      </c>
      <c r="AA1" t="s">
        <v>712</v>
      </c>
      <c r="AL1" t="s">
        <v>713</v>
      </c>
      <c r="AW1" t="s">
        <v>714</v>
      </c>
      <c r="BA1" t="s">
        <v>58</v>
      </c>
      <c r="BB1" s="365">
        <v>0.05</v>
      </c>
      <c r="BF1" t="s">
        <v>715</v>
      </c>
      <c r="BJ1" t="s">
        <v>58</v>
      </c>
      <c r="BK1" s="365">
        <v>0.05</v>
      </c>
    </row>
    <row r="2" spans="1:65" ht="15.75" thickTop="1" x14ac:dyDescent="0.25">
      <c r="AA2" s="191" t="s">
        <v>825</v>
      </c>
      <c r="AB2" s="191" t="s">
        <v>829</v>
      </c>
      <c r="AC2" s="191" t="s">
        <v>6</v>
      </c>
      <c r="AD2" s="191" t="s">
        <v>830</v>
      </c>
      <c r="AL2" s="191" t="s">
        <v>825</v>
      </c>
      <c r="AM2" s="191" t="s">
        <v>829</v>
      </c>
      <c r="AN2" s="191" t="s">
        <v>6</v>
      </c>
      <c r="AO2" s="191" t="s">
        <v>830</v>
      </c>
      <c r="AW2" s="191" t="s">
        <v>825</v>
      </c>
      <c r="AX2" s="191" t="s">
        <v>6</v>
      </c>
      <c r="AY2" s="191" t="s">
        <v>830</v>
      </c>
      <c r="AZ2" s="191" t="s">
        <v>183</v>
      </c>
      <c r="BA2" s="191" t="s">
        <v>37</v>
      </c>
      <c r="BB2" s="191" t="s">
        <v>113</v>
      </c>
      <c r="BC2" s="191" t="s">
        <v>826</v>
      </c>
      <c r="BF2" s="191" t="s">
        <v>825</v>
      </c>
      <c r="BG2" s="191" t="s">
        <v>6</v>
      </c>
      <c r="BH2" s="191" t="s">
        <v>830</v>
      </c>
      <c r="BI2" s="191" t="s">
        <v>183</v>
      </c>
      <c r="BJ2" s="191" t="s">
        <v>37</v>
      </c>
      <c r="BK2" s="191" t="s">
        <v>113</v>
      </c>
      <c r="BL2" s="191" t="s">
        <v>826</v>
      </c>
    </row>
    <row r="3" spans="1:65" ht="15.75" thickBot="1" x14ac:dyDescent="0.3">
      <c r="B3" s="365" t="s">
        <v>74</v>
      </c>
      <c r="C3" s="365" t="s">
        <v>65</v>
      </c>
      <c r="D3" s="365" t="s">
        <v>66</v>
      </c>
      <c r="E3" s="365" t="s">
        <v>67</v>
      </c>
      <c r="G3" s="402" t="e">
        <f t="array" aca="1" ref="G3:J38" ca="1">Split2Std(A3:E12, 3)</f>
        <v>#NAME?</v>
      </c>
      <c r="H3" s="403" t="e">
        <f ca="1"/>
        <v>#NAME?</v>
      </c>
      <c r="I3" s="403" t="e">
        <f ca="1"/>
        <v>#NAME?</v>
      </c>
      <c r="J3" s="404" t="e">
        <f ca="1"/>
        <v>#NAME?</v>
      </c>
      <c r="O3" s="12" t="s">
        <v>11</v>
      </c>
      <c r="P3" s="12" t="s">
        <v>8</v>
      </c>
      <c r="Q3" s="12" t="s">
        <v>48</v>
      </c>
      <c r="S3" t="s">
        <v>84</v>
      </c>
      <c r="W3" s="365" t="s">
        <v>17</v>
      </c>
      <c r="X3" s="365">
        <v>0.05</v>
      </c>
      <c r="AA3" s="351" t="e">
        <f t="array" ref="AA3:AA6" ca="1">N10:N13</f>
        <v>#NAME?</v>
      </c>
      <c r="AB3" s="382"/>
      <c r="AC3" s="351" t="e">
        <f t="array" ref="AC3:AC6" ca="1">P10:P13</f>
        <v>#NAME?</v>
      </c>
      <c r="AD3" s="351">
        <f t="array" ref="AD3:AD6" ca="1">O10:O13</f>
        <v>1296</v>
      </c>
      <c r="AL3" s="351" t="e">
        <f t="array" ref="AL3:AL5" ca="1">M7:M9</f>
        <v>#NAME?</v>
      </c>
      <c r="AM3" s="382"/>
      <c r="AN3" s="351" t="e">
        <f t="array" ref="AN3:AN5" ca="1">P7:P9</f>
        <v>#NAME?</v>
      </c>
      <c r="AO3" s="351">
        <f t="array" ref="AO3:AO5" ca="1">O7:O9</f>
        <v>1296</v>
      </c>
      <c r="AW3" s="351" t="e">
        <f t="array" ref="AW3:AW6" ca="1">N10:N13</f>
        <v>#NAME?</v>
      </c>
      <c r="AX3" s="351" t="e">
        <f t="array" ref="AX3:AX6" ca="1">P10:P13</f>
        <v>#NAME?</v>
      </c>
      <c r="AY3" s="351">
        <f t="array" ref="AY3:AY6" ca="1">O10:O13</f>
        <v>1296</v>
      </c>
      <c r="AZ3" s="351"/>
      <c r="BA3" s="351"/>
      <c r="BB3" s="351"/>
      <c r="BC3" s="351"/>
      <c r="BF3" s="351" t="e">
        <f t="array" ref="BF3:BF5" ca="1">M7:M9</f>
        <v>#NAME?</v>
      </c>
      <c r="BG3" s="351" t="e">
        <f t="array" ref="BG3:BG5" ca="1">P7:P9</f>
        <v>#NAME?</v>
      </c>
      <c r="BH3" s="351">
        <f t="array" ref="BH3:BH5" ca="1">O7:O9</f>
        <v>1296</v>
      </c>
      <c r="BI3" s="351"/>
      <c r="BJ3" s="351"/>
      <c r="BK3" s="351"/>
      <c r="BL3" s="351"/>
    </row>
    <row r="4" spans="1:65" ht="15.75" thickTop="1" x14ac:dyDescent="0.25">
      <c r="A4" s="365">
        <v>580</v>
      </c>
      <c r="B4" s="405">
        <v>217</v>
      </c>
      <c r="C4" s="406">
        <v>158</v>
      </c>
      <c r="D4" s="406">
        <v>229</v>
      </c>
      <c r="E4" s="407">
        <v>223</v>
      </c>
      <c r="G4" s="76" t="e">
        <f ca="1"/>
        <v>#NAME?</v>
      </c>
      <c r="H4" s="7" t="e">
        <f ca="1"/>
        <v>#NAME?</v>
      </c>
      <c r="I4" s="7" t="e">
        <f ca="1"/>
        <v>#NAME?</v>
      </c>
      <c r="J4" s="35" t="e">
        <f ca="1"/>
        <v>#NAME?</v>
      </c>
      <c r="L4" s="402" t="e">
        <f t="array" aca="1" ref="L4:L6" ca="1">SortUnique(G3:G38)</f>
        <v>#NAME?</v>
      </c>
      <c r="M4" s="403"/>
      <c r="N4" s="404"/>
      <c r="O4" s="402">
        <f ca="1">SUMIF($L$47:$L$82,L4,$O$47:$O$82)</f>
        <v>1296</v>
      </c>
      <c r="P4" s="403" t="e">
        <f ca="1">IF(O4=0,"",AVERAGEIF($G$3:$G$38,$L4,$J$3:$J$38))</f>
        <v>#NAME?</v>
      </c>
      <c r="Q4" s="404" t="e">
        <f t="array" aca="1" ref="Q4" ca="1">IF(O4&lt;2,"",VAR(IF($G$3:$G$38=$L4,$J$3:$J$38,"")))</f>
        <v>#NAME?</v>
      </c>
      <c r="S4" s="191"/>
      <c r="T4" s="191" t="s">
        <v>76</v>
      </c>
      <c r="U4" s="191" t="s">
        <v>37</v>
      </c>
      <c r="V4" s="191" t="s">
        <v>78</v>
      </c>
      <c r="W4" s="191" t="s">
        <v>68</v>
      </c>
      <c r="X4" s="191" t="s">
        <v>43</v>
      </c>
      <c r="Y4" s="191" t="s">
        <v>111</v>
      </c>
      <c r="AA4" s="7" t="e">
        <f ca="1"/>
        <v>#NAME?</v>
      </c>
      <c r="AB4" s="257">
        <v>-1</v>
      </c>
      <c r="AC4" s="7" t="e">
        <f ca="1"/>
        <v>#NAME?</v>
      </c>
      <c r="AD4" s="7">
        <f ca="1"/>
        <v>1296</v>
      </c>
      <c r="AL4" s="7" t="e">
        <f ca="1"/>
        <v>#NAME?</v>
      </c>
      <c r="AM4" s="257">
        <v>-1</v>
      </c>
      <c r="AN4" s="7" t="e">
        <f ca="1"/>
        <v>#NAME?</v>
      </c>
      <c r="AO4" s="7">
        <f ca="1"/>
        <v>1296</v>
      </c>
      <c r="AW4" s="7" t="e">
        <f ca="1"/>
        <v>#NAME?</v>
      </c>
      <c r="AX4" s="7" t="e">
        <f ca="1"/>
        <v>#NAME?</v>
      </c>
      <c r="AY4" s="7">
        <f ca="1"/>
        <v>1296</v>
      </c>
      <c r="AZ4" s="7"/>
      <c r="BA4" s="7"/>
      <c r="BB4" s="7"/>
      <c r="BC4" s="7"/>
      <c r="BF4" s="7" t="e">
        <f ca="1"/>
        <v>#NAME?</v>
      </c>
      <c r="BG4" s="7" t="e">
        <f ca="1"/>
        <v>#NAME?</v>
      </c>
      <c r="BH4" s="7">
        <f ca="1"/>
        <v>1296</v>
      </c>
      <c r="BI4" s="7"/>
      <c r="BJ4" s="7"/>
      <c r="BK4" s="7"/>
      <c r="BL4" s="7"/>
    </row>
    <row r="5" spans="1:65" x14ac:dyDescent="0.25">
      <c r="A5" s="365">
        <v>600</v>
      </c>
      <c r="B5" s="107">
        <v>233</v>
      </c>
      <c r="C5" s="7">
        <v>138</v>
      </c>
      <c r="D5" s="7">
        <v>186</v>
      </c>
      <c r="E5" s="108">
        <v>227</v>
      </c>
      <c r="G5" s="76" t="e">
        <f ca="1"/>
        <v>#NAME?</v>
      </c>
      <c r="H5" s="7" t="e">
        <f ca="1"/>
        <v>#NAME?</v>
      </c>
      <c r="I5" s="7" t="e">
        <f ca="1"/>
        <v>#NAME?</v>
      </c>
      <c r="J5" s="35" t="e">
        <f ca="1"/>
        <v>#NAME?</v>
      </c>
      <c r="L5" s="76" t="e">
        <f ca="1"/>
        <v>#NAME?</v>
      </c>
      <c r="M5" s="7"/>
      <c r="N5" s="35"/>
      <c r="O5" s="76">
        <f t="shared" ref="O5:O6" ca="1" si="0">SUMIF($L$47:$L$82,L5,$O$47:$O$82)</f>
        <v>1296</v>
      </c>
      <c r="P5" s="7" t="e">
        <f t="shared" ref="P5:P6" ca="1" si="1">IF(O5=0,"",AVERAGEIF($G$3:$G$38,$L5,$J$3:$J$38))</f>
        <v>#NAME?</v>
      </c>
      <c r="Q5" s="35" t="e">
        <f t="array" aca="1" ref="Q5" ca="1">IF(O5&lt;2,"",VAR(IF($G$3:$G$38=$L5,$J$3:$J$38,"")))</f>
        <v>#NAME?</v>
      </c>
      <c r="S5" t="s">
        <v>707</v>
      </c>
      <c r="T5" t="e">
        <f ca="1">DEVSQ(P10:P13)*O10</f>
        <v>#NAME?</v>
      </c>
      <c r="U5">
        <f ca="1">COUNT(P10:P13)-1</f>
        <v>-1</v>
      </c>
      <c r="V5" t="e">
        <f t="shared" ref="V5:V10" ca="1" si="2">T5/U5</f>
        <v>#NAME?</v>
      </c>
      <c r="W5" t="e">
        <f ca="1">V5/V6</f>
        <v>#NAME?</v>
      </c>
      <c r="X5" t="e">
        <f ca="1">FDIST(W5,U5,U6)</f>
        <v>#NAME?</v>
      </c>
      <c r="Y5" s="365" t="e">
        <f ca="1">IF(X5&lt;X3,"yes","no")</f>
        <v>#NAME?</v>
      </c>
      <c r="AA5" s="7" t="e">
        <f ca="1"/>
        <v>#NAME?</v>
      </c>
      <c r="AB5" s="257">
        <v>1</v>
      </c>
      <c r="AC5" s="7" t="e">
        <f ca="1"/>
        <v>#NAME?</v>
      </c>
      <c r="AD5" s="7">
        <f ca="1"/>
        <v>1296</v>
      </c>
      <c r="AL5" s="353" t="e">
        <f ca="1"/>
        <v>#NAME?</v>
      </c>
      <c r="AM5" s="355">
        <v>1</v>
      </c>
      <c r="AN5" s="353" t="e">
        <f ca="1"/>
        <v>#NAME?</v>
      </c>
      <c r="AO5" s="353">
        <f ca="1"/>
        <v>1296</v>
      </c>
      <c r="AW5" s="7" t="e">
        <f ca="1"/>
        <v>#NAME?</v>
      </c>
      <c r="AX5" s="7" t="e">
        <f ca="1"/>
        <v>#NAME?</v>
      </c>
      <c r="AY5" s="7">
        <f ca="1"/>
        <v>1296</v>
      </c>
      <c r="AZ5" s="7"/>
      <c r="BA5" s="7"/>
      <c r="BB5" s="7"/>
      <c r="BC5" s="7"/>
      <c r="BF5" s="353" t="e">
        <f ca="1"/>
        <v>#NAME?</v>
      </c>
      <c r="BG5" s="353" t="e">
        <f ca="1"/>
        <v>#NAME?</v>
      </c>
      <c r="BH5" s="353">
        <f ca="1"/>
        <v>1296</v>
      </c>
      <c r="BI5" s="353"/>
      <c r="BJ5" s="353"/>
      <c r="BK5" s="353"/>
      <c r="BL5" s="353"/>
    </row>
    <row r="6" spans="1:65" x14ac:dyDescent="0.25">
      <c r="A6" s="365">
        <v>620</v>
      </c>
      <c r="B6" s="107">
        <v>175</v>
      </c>
      <c r="C6" s="7">
        <v>152</v>
      </c>
      <c r="D6" s="7">
        <v>155</v>
      </c>
      <c r="E6" s="108">
        <v>156</v>
      </c>
      <c r="G6" s="76" t="e">
        <f ca="1"/>
        <v>#NAME?</v>
      </c>
      <c r="H6" s="7" t="e">
        <f ca="1"/>
        <v>#NAME?</v>
      </c>
      <c r="I6" s="7" t="e">
        <f ca="1"/>
        <v>#NAME?</v>
      </c>
      <c r="J6" s="35" t="e">
        <f ca="1"/>
        <v>#NAME?</v>
      </c>
      <c r="L6" s="76" t="e">
        <f ca="1"/>
        <v>#NAME?</v>
      </c>
      <c r="M6" s="7"/>
      <c r="N6" s="35"/>
      <c r="O6" s="76">
        <f t="shared" ca="1" si="0"/>
        <v>1296</v>
      </c>
      <c r="P6" s="7" t="e">
        <f t="shared" ca="1" si="1"/>
        <v>#NAME?</v>
      </c>
      <c r="Q6" s="35" t="e">
        <f t="array" aca="1" ref="Q6" ca="1">IF(O6&lt;2,"",VAR(IF($G$3:$G$38=$L6,$J$3:$J$38,"")))</f>
        <v>#NAME?</v>
      </c>
      <c r="S6" s="353" t="s">
        <v>721</v>
      </c>
      <c r="T6" s="353" t="e">
        <f ca="1">DEVSQ(P23:P34)*O23-T5</f>
        <v>#NAME?</v>
      </c>
      <c r="U6" s="353">
        <f ca="1">(COUNT(P4:P6)-1)*(U5+1)</f>
        <v>0</v>
      </c>
      <c r="V6" s="353" t="e">
        <f t="shared" ca="1" si="2"/>
        <v>#NAME?</v>
      </c>
      <c r="W6" s="353" t="e">
        <f ca="1">V6/V9</f>
        <v>#NAME?</v>
      </c>
      <c r="X6" s="353" t="e">
        <f ca="1">FDIST(W6,U6,U9)</f>
        <v>#NAME?</v>
      </c>
      <c r="Y6" s="385" t="e">
        <f ca="1">IF(X6&lt;X3,"yes","no")</f>
        <v>#NAME?</v>
      </c>
      <c r="AA6" s="353" t="e">
        <f ca="1"/>
        <v>#NAME?</v>
      </c>
      <c r="AB6" s="355"/>
      <c r="AC6" s="353" t="e">
        <f ca="1"/>
        <v>#NAME?</v>
      </c>
      <c r="AD6" s="353">
        <f ca="1"/>
        <v>1296</v>
      </c>
      <c r="AM6">
        <f>SUM(AM3:AM5)</f>
        <v>0</v>
      </c>
      <c r="AN6" t="e">
        <f ca="1">SUMPRODUCT(AM3:AM5,AN3:AN5)</f>
        <v>#NAME?</v>
      </c>
      <c r="AO6">
        <f ca="1">HARMEAN(AO3:AO5)</f>
        <v>1296</v>
      </c>
      <c r="AW6" s="353" t="e">
        <f ca="1"/>
        <v>#NAME?</v>
      </c>
      <c r="AX6" s="353" t="e">
        <f ca="1"/>
        <v>#NAME?</v>
      </c>
      <c r="AY6" s="353">
        <f ca="1"/>
        <v>1296</v>
      </c>
      <c r="AZ6" s="353"/>
      <c r="BA6" s="353"/>
      <c r="BB6" s="353"/>
      <c r="BC6" s="353"/>
      <c r="BH6">
        <f ca="1">HARMEAN(BH3:BH5)</f>
        <v>1296</v>
      </c>
      <c r="BI6" t="e">
        <f ca="1">SQRT(V9/BH6)</f>
        <v>#NAME?</v>
      </c>
      <c r="BJ6">
        <f ca="1">U9</f>
        <v>1296</v>
      </c>
      <c r="BK6" t="e">
        <f ca="1">QCRIT(COUNT(BH3:BH5),BJ6,BK1,2)</f>
        <v>#NAME?</v>
      </c>
      <c r="BL6" t="e">
        <f ca="1">BI6*BK6</f>
        <v>#NAME?</v>
      </c>
    </row>
    <row r="7" spans="1:65" ht="15.75" thickBot="1" x14ac:dyDescent="0.3">
      <c r="A7" s="365">
        <v>580</v>
      </c>
      <c r="B7" s="405">
        <v>188</v>
      </c>
      <c r="C7" s="351">
        <v>126</v>
      </c>
      <c r="D7" s="351">
        <v>160</v>
      </c>
      <c r="E7" s="407">
        <v>201</v>
      </c>
      <c r="G7" s="76" t="e">
        <f ca="1"/>
        <v>#NAME?</v>
      </c>
      <c r="H7" s="7" t="e">
        <f ca="1"/>
        <v>#NAME?</v>
      </c>
      <c r="I7" s="7" t="e">
        <f ca="1"/>
        <v>#NAME?</v>
      </c>
      <c r="J7" s="35" t="e">
        <f ca="1"/>
        <v>#NAME?</v>
      </c>
      <c r="L7" s="76"/>
      <c r="M7" s="7" t="e">
        <f t="array" aca="1" ref="M7:M9" ca="1">SortUnique(H3:H38)</f>
        <v>#NAME?</v>
      </c>
      <c r="N7" s="35"/>
      <c r="O7" s="76">
        <f ca="1">SUMIF($M$47:$M$82,M7,$O$47:$O$82)</f>
        <v>1296</v>
      </c>
      <c r="P7" s="7" t="e">
        <f ca="1">IF(O7=0,"",AVERAGEIF($H$3:$H$38,$M7,$J$3:$J$38))</f>
        <v>#NAME?</v>
      </c>
      <c r="Q7" s="35" t="e">
        <f t="array" aca="1" ref="Q7" ca="1">IF(O7&lt;2,"",VAR(IF($H$3:$H$38=$M7,$J$3:$J$38,"")))</f>
        <v>#NAME?</v>
      </c>
      <c r="S7" t="s">
        <v>709</v>
      </c>
      <c r="T7" t="e">
        <f ca="1">DEVSQ(P7:P9)*O7</f>
        <v>#NAME?</v>
      </c>
      <c r="U7">
        <f ca="1">COUNT(P7:P9)-1</f>
        <v>-1</v>
      </c>
      <c r="V7" t="e">
        <f t="shared" ca="1" si="2"/>
        <v>#NAME?</v>
      </c>
      <c r="W7" t="e">
        <f ca="1">V7/V9</f>
        <v>#NAME?</v>
      </c>
      <c r="X7" t="e">
        <f ca="1">FDIST(W7,U7,U9)</f>
        <v>#NAME?</v>
      </c>
      <c r="Y7" s="365" t="e">
        <f ca="1">IF(X7&lt;X3,"yes","no")</f>
        <v>#NAME?</v>
      </c>
      <c r="AB7">
        <f>SUM(AB3:AB6)</f>
        <v>0</v>
      </c>
      <c r="AC7" t="e">
        <f ca="1">SUMPRODUCT(AB3:AB6,AC3:AC6)</f>
        <v>#NAME?</v>
      </c>
      <c r="AD7">
        <f ca="1">HARMEAN(AD3:AD6)</f>
        <v>1296</v>
      </c>
      <c r="AL7" t="s">
        <v>42</v>
      </c>
      <c r="AQ7" t="s">
        <v>17</v>
      </c>
      <c r="AR7">
        <v>0.05</v>
      </c>
      <c r="AY7">
        <f ca="1">HARMEAN(AY3:AY6)</f>
        <v>1296</v>
      </c>
      <c r="AZ7" t="e">
        <f ca="1">SQRT(V6/AY7)</f>
        <v>#NAME?</v>
      </c>
      <c r="BA7">
        <f ca="1">U6</f>
        <v>0</v>
      </c>
      <c r="BB7" t="e">
        <f ca="1">QCRIT(COUNT(AY3:AY6),BA7,BB1,2)</f>
        <v>#NAME?</v>
      </c>
      <c r="BC7" t="e">
        <f ca="1">AZ7*BB7</f>
        <v>#NAME?</v>
      </c>
      <c r="BF7" t="s">
        <v>498</v>
      </c>
    </row>
    <row r="8" spans="1:65" ht="16.5" thickTop="1" thickBot="1" x14ac:dyDescent="0.3">
      <c r="A8" s="365">
        <v>600</v>
      </c>
      <c r="B8" s="107">
        <v>201</v>
      </c>
      <c r="C8" s="7">
        <v>130</v>
      </c>
      <c r="D8" s="7">
        <v>170</v>
      </c>
      <c r="E8" s="108">
        <v>181</v>
      </c>
      <c r="G8" s="76" t="e">
        <f ca="1"/>
        <v>#NAME?</v>
      </c>
      <c r="H8" s="7" t="e">
        <f ca="1"/>
        <v>#NAME?</v>
      </c>
      <c r="I8" s="7" t="e">
        <f ca="1"/>
        <v>#NAME?</v>
      </c>
      <c r="J8" s="35" t="e">
        <f ca="1"/>
        <v>#NAME?</v>
      </c>
      <c r="L8" s="76"/>
      <c r="M8" s="7" t="e">
        <f ca="1"/>
        <v>#NAME?</v>
      </c>
      <c r="N8" s="35"/>
      <c r="O8" s="76">
        <f t="shared" ref="O8:O9" ca="1" si="3">SUMIF($M$47:$M$82,M8,$O$47:$O$82)</f>
        <v>1296</v>
      </c>
      <c r="P8" s="7" t="e">
        <f t="shared" ref="P8:P9" ca="1" si="4">IF(O8=0,"",AVERAGEIF($H$3:$H$38,$M8,$J$3:$J$38))</f>
        <v>#NAME?</v>
      </c>
      <c r="Q8" s="35" t="e">
        <f t="array" aca="1" ref="Q8" ca="1">IF(O8&lt;2,"",VAR(IF($H$3:$H$38=$M8,$J$3:$J$38,"")))</f>
        <v>#NAME?</v>
      </c>
      <c r="S8" t="s">
        <v>710</v>
      </c>
      <c r="T8" t="e">
        <f ca="1">DEVSQ(P35:P46)*O35-T5-T7</f>
        <v>#NAME?</v>
      </c>
      <c r="U8">
        <f ca="1">U5*U7</f>
        <v>1</v>
      </c>
      <c r="V8" t="e">
        <f t="shared" ca="1" si="2"/>
        <v>#NAME?</v>
      </c>
      <c r="W8" t="e">
        <f ca="1">V8/V9</f>
        <v>#NAME?</v>
      </c>
      <c r="X8" t="e">
        <f ca="1">FDIST(W8,U8,U9)</f>
        <v>#NAME?</v>
      </c>
      <c r="Y8" s="365" t="e">
        <f ca="1">IF(X8&lt;X3,"yes","no")</f>
        <v>#NAME?</v>
      </c>
      <c r="AA8" t="s">
        <v>42</v>
      </c>
      <c r="AF8" t="s">
        <v>17</v>
      </c>
      <c r="AG8">
        <v>0.05</v>
      </c>
      <c r="AL8" s="191" t="s">
        <v>183</v>
      </c>
      <c r="AM8" s="191" t="s">
        <v>53</v>
      </c>
      <c r="AN8" s="191" t="s">
        <v>37</v>
      </c>
      <c r="AO8" s="191" t="s">
        <v>43</v>
      </c>
      <c r="AP8" s="191" t="s">
        <v>44</v>
      </c>
      <c r="AQ8" s="191" t="s">
        <v>14</v>
      </c>
      <c r="AR8" s="191" t="s">
        <v>15</v>
      </c>
      <c r="AS8" s="191" t="s">
        <v>111</v>
      </c>
      <c r="AT8" s="191" t="s">
        <v>41</v>
      </c>
      <c r="AU8" s="191" t="s">
        <v>192</v>
      </c>
      <c r="AW8" t="s">
        <v>498</v>
      </c>
      <c r="BF8" s="191" t="s">
        <v>827</v>
      </c>
      <c r="BG8" s="191" t="s">
        <v>828</v>
      </c>
      <c r="BH8" s="191" t="s">
        <v>6</v>
      </c>
      <c r="BI8" s="191" t="s">
        <v>497</v>
      </c>
      <c r="BJ8" s="191" t="s">
        <v>14</v>
      </c>
      <c r="BK8" s="191" t="s">
        <v>15</v>
      </c>
      <c r="BL8" s="191" t="s">
        <v>43</v>
      </c>
      <c r="BM8" s="191" t="s">
        <v>41</v>
      </c>
    </row>
    <row r="9" spans="1:65" ht="15.75" thickTop="1" x14ac:dyDescent="0.25">
      <c r="A9" s="365">
        <v>620</v>
      </c>
      <c r="B9" s="52">
        <v>195</v>
      </c>
      <c r="C9" s="353">
        <v>147</v>
      </c>
      <c r="D9" s="353">
        <v>161</v>
      </c>
      <c r="E9" s="56">
        <v>172</v>
      </c>
      <c r="G9" s="76" t="e">
        <f ca="1"/>
        <v>#NAME?</v>
      </c>
      <c r="H9" s="7" t="e">
        <f ca="1"/>
        <v>#NAME?</v>
      </c>
      <c r="I9" s="7" t="e">
        <f ca="1"/>
        <v>#NAME?</v>
      </c>
      <c r="J9" s="35" t="e">
        <f ca="1"/>
        <v>#NAME?</v>
      </c>
      <c r="L9" s="76"/>
      <c r="M9" s="7" t="e">
        <f ca="1"/>
        <v>#NAME?</v>
      </c>
      <c r="N9" s="35"/>
      <c r="O9" s="76">
        <f t="shared" ca="1" si="3"/>
        <v>1296</v>
      </c>
      <c r="P9" s="7" t="e">
        <f t="shared" ca="1" si="4"/>
        <v>#NAME?</v>
      </c>
      <c r="Q9" s="35" t="e">
        <f t="array" aca="1" ref="Q9" ca="1">IF(O9&lt;2,"",VAR(IF($H$3:$H$38=$M9,$J$3:$J$38,"")))</f>
        <v>#NAME?</v>
      </c>
      <c r="S9" t="s">
        <v>711</v>
      </c>
      <c r="T9" t="e">
        <f ca="1">T10-SUM(T4:T8)</f>
        <v>#NAME?</v>
      </c>
      <c r="U9">
        <f ca="1">U10-SUM(U4:U8)</f>
        <v>1296</v>
      </c>
      <c r="V9" t="e">
        <f t="shared" ca="1" si="2"/>
        <v>#NAME?</v>
      </c>
      <c r="AA9" s="191" t="s">
        <v>183</v>
      </c>
      <c r="AB9" s="191" t="s">
        <v>53</v>
      </c>
      <c r="AC9" s="191" t="s">
        <v>37</v>
      </c>
      <c r="AD9" s="191" t="s">
        <v>43</v>
      </c>
      <c r="AE9" s="191" t="s">
        <v>44</v>
      </c>
      <c r="AF9" s="191" t="s">
        <v>14</v>
      </c>
      <c r="AG9" s="191" t="s">
        <v>15</v>
      </c>
      <c r="AH9" s="191" t="s">
        <v>111</v>
      </c>
      <c r="AI9" s="191" t="s">
        <v>41</v>
      </c>
      <c r="AJ9" s="191" t="s">
        <v>192</v>
      </c>
      <c r="AL9" s="408" t="e">
        <f ca="1">SQRT(V9*SUMPRODUCT(AM3:AM5^2,1/AO3:AO5))</f>
        <v>#NAME?</v>
      </c>
      <c r="AM9" s="408" t="e">
        <f ca="1">AN6/AL9</f>
        <v>#NAME?</v>
      </c>
      <c r="AN9" s="408">
        <f ca="1">U9</f>
        <v>1296</v>
      </c>
      <c r="AO9" s="408" t="e">
        <f ca="1">TDIST(ABS(AM9),AN9,2)</f>
        <v>#NAME?</v>
      </c>
      <c r="AP9" s="408">
        <f ca="1">TINV(AR7,AN9)</f>
        <v>1.961796122353757</v>
      </c>
      <c r="AQ9" s="408" t="e">
        <f ca="1">AN6-AL9*AP9</f>
        <v>#NAME?</v>
      </c>
      <c r="AR9" s="408" t="e">
        <f ca="1">AN6+AL9*AP9</f>
        <v>#NAME?</v>
      </c>
      <c r="AS9" s="409" t="e">
        <f ca="1">IF(AO9&lt;AR7,"yes","no")</f>
        <v>#NAME?</v>
      </c>
      <c r="AT9" s="408" t="e">
        <f ca="1">ABS(AN6)/SQRT(V9)</f>
        <v>#NAME?</v>
      </c>
      <c r="AU9" s="408" t="e">
        <f ca="1">SQRT(AM9^2/(AM9^2+AN9))</f>
        <v>#NAME?</v>
      </c>
      <c r="AW9" s="191" t="s">
        <v>827</v>
      </c>
      <c r="AX9" s="191" t="s">
        <v>828</v>
      </c>
      <c r="AY9" s="191" t="s">
        <v>6</v>
      </c>
      <c r="AZ9" s="191" t="s">
        <v>497</v>
      </c>
      <c r="BA9" s="191" t="s">
        <v>14</v>
      </c>
      <c r="BB9" s="191" t="s">
        <v>15</v>
      </c>
      <c r="BC9" s="191" t="s">
        <v>43</v>
      </c>
      <c r="BD9" s="191" t="s">
        <v>41</v>
      </c>
      <c r="BF9" s="351" t="e">
        <f ca="1">BF3</f>
        <v>#NAME?</v>
      </c>
      <c r="BG9" s="351" t="e">
        <f ca="1">BF4</f>
        <v>#NAME?</v>
      </c>
      <c r="BH9" s="351" t="e">
        <f ca="1">ABS(BG3-BG4)</f>
        <v>#NAME?</v>
      </c>
      <c r="BI9" s="351" t="e">
        <f ca="1">BH9/BI$6</f>
        <v>#NAME?</v>
      </c>
      <c r="BJ9" s="351" t="e">
        <f ca="1">BH9-BL$6</f>
        <v>#NAME?</v>
      </c>
      <c r="BK9" s="351" t="e">
        <f ca="1">BH9+BL$6</f>
        <v>#NAME?</v>
      </c>
      <c r="BL9" s="351" t="e">
        <f ca="1">QDIST(BI9,COUNT(BH$3:BH$5),BJ$6)</f>
        <v>#NAME?</v>
      </c>
      <c r="BM9" s="351" t="e">
        <f ca="1">ABS(BH9)/SQRT(V$9)</f>
        <v>#NAME?</v>
      </c>
    </row>
    <row r="10" spans="1:65" x14ac:dyDescent="0.25">
      <c r="A10" s="365">
        <v>580</v>
      </c>
      <c r="B10" s="107">
        <v>162</v>
      </c>
      <c r="C10" s="7">
        <v>122</v>
      </c>
      <c r="D10" s="7">
        <v>167</v>
      </c>
      <c r="E10" s="108">
        <v>182</v>
      </c>
      <c r="G10" s="76" t="e">
        <f ca="1"/>
        <v>#NAME?</v>
      </c>
      <c r="H10" s="7" t="e">
        <f ca="1"/>
        <v>#NAME?</v>
      </c>
      <c r="I10" s="7" t="e">
        <f ca="1"/>
        <v>#NAME?</v>
      </c>
      <c r="J10" s="35" t="e">
        <f ca="1"/>
        <v>#NAME?</v>
      </c>
      <c r="L10" s="76"/>
      <c r="M10" s="7"/>
      <c r="N10" s="35" t="e">
        <f t="array" aca="1" ref="N10:N13" ca="1">SortUnique(I3:I38)</f>
        <v>#NAME?</v>
      </c>
      <c r="O10" s="76">
        <f ca="1">SUMIF($N$47:$N$82,N10,$O$47:$O$82)</f>
        <v>1296</v>
      </c>
      <c r="P10" s="7" t="e">
        <f ca="1">IF(O10=0,"",AVERAGEIF($I$3:$I$38,$N10,$J$3:$J$38))</f>
        <v>#NAME?</v>
      </c>
      <c r="Q10" s="35" t="e">
        <f t="array" aca="1" ref="Q10" ca="1">IF(O10&lt;2,"",VAR(IF($I$3:$I$38=$N10,$J$3:$J$38,"")))</f>
        <v>#NAME?</v>
      </c>
      <c r="S10" s="353" t="s">
        <v>1</v>
      </c>
      <c r="T10" s="353" t="e">
        <f ca="1">Q83*U10</f>
        <v>#NAME?</v>
      </c>
      <c r="U10" s="353">
        <f ca="1">O83-1</f>
        <v>1295</v>
      </c>
      <c r="V10" s="353" t="e">
        <f t="shared" ca="1" si="2"/>
        <v>#NAME?</v>
      </c>
      <c r="W10" s="353"/>
      <c r="X10" s="353"/>
      <c r="Y10" s="353"/>
      <c r="AA10" s="408" t="e">
        <f ca="1">SQRT(V6*SUMPRODUCT(AB3:AB6^2,1/AD3:AD6))</f>
        <v>#NAME?</v>
      </c>
      <c r="AB10" s="408" t="e">
        <f ca="1">AC7/AA10</f>
        <v>#NAME?</v>
      </c>
      <c r="AC10" s="408">
        <f ca="1">U6</f>
        <v>0</v>
      </c>
      <c r="AD10" s="408" t="e">
        <f ca="1">TDIST(ABS(AB10),AC10,2)</f>
        <v>#NAME?</v>
      </c>
      <c r="AE10" s="408" t="e">
        <f ca="1">TINV(AG8,AC10)</f>
        <v>#NUM!</v>
      </c>
      <c r="AF10" s="408" t="e">
        <f ca="1">AC7-AA10*AE10</f>
        <v>#NAME?</v>
      </c>
      <c r="AG10" s="408" t="e">
        <f ca="1">AC7+AA10*AE10</f>
        <v>#NAME?</v>
      </c>
      <c r="AH10" s="409" t="e">
        <f ca="1">IF(AD10&lt;AG8,"yes","no")</f>
        <v>#NAME?</v>
      </c>
      <c r="AI10" s="408" t="e">
        <f ca="1">ABS(AC7)/SQRT(V6)</f>
        <v>#NAME?</v>
      </c>
      <c r="AJ10" s="408" t="e">
        <f ca="1">SQRT(AB10^2/(AB10^2+AC10))</f>
        <v>#NAME?</v>
      </c>
      <c r="AW10" s="351" t="e">
        <f ca="1">AW3</f>
        <v>#NAME?</v>
      </c>
      <c r="AX10" s="351" t="e">
        <f ca="1">AW4</f>
        <v>#NAME?</v>
      </c>
      <c r="AY10" s="351" t="e">
        <f ca="1">ABS(AX3-AX4)</f>
        <v>#NAME?</v>
      </c>
      <c r="AZ10" s="351" t="e">
        <f ca="1">AY10/AZ$7</f>
        <v>#NAME?</v>
      </c>
      <c r="BA10" s="351" t="e">
        <f ca="1">AY10-BC$7</f>
        <v>#NAME?</v>
      </c>
      <c r="BB10" s="351" t="e">
        <f ca="1">AY10+BC$7</f>
        <v>#NAME?</v>
      </c>
      <c r="BC10" s="351" t="e">
        <f ca="1">QDIST(AZ10,COUNT(AY$3:AY$6),BA$7)</f>
        <v>#NAME?</v>
      </c>
      <c r="BD10" s="351" t="e">
        <f ca="1">ABS(AY10)/SQRT(V$6)</f>
        <v>#NAME?</v>
      </c>
      <c r="BF10" s="7" t="e">
        <f ca="1">BF3</f>
        <v>#NAME?</v>
      </c>
      <c r="BG10" s="7" t="e">
        <f ca="1">BF5</f>
        <v>#NAME?</v>
      </c>
      <c r="BH10" s="7" t="e">
        <f ca="1">ABS(BG3-BG5)</f>
        <v>#NAME?</v>
      </c>
      <c r="BI10" s="7" t="e">
        <f t="shared" ref="BI10:BI11" ca="1" si="5">BH10/BI$6</f>
        <v>#NAME?</v>
      </c>
      <c r="BJ10" s="7" t="e">
        <f t="shared" ref="BJ10:BJ11" ca="1" si="6">BH10-BL$6</f>
        <v>#NAME?</v>
      </c>
      <c r="BK10" s="7" t="e">
        <f t="shared" ref="BK10:BK11" ca="1" si="7">BH10+BL$6</f>
        <v>#NAME?</v>
      </c>
      <c r="BL10" s="7" t="e">
        <f ca="1">QDIST(BI10,COUNT(BH$3:BH$5),BJ$6)</f>
        <v>#NAME?</v>
      </c>
      <c r="BM10" s="7" t="e">
        <f t="shared" ref="BM10:BM11" ca="1" si="8">ABS(BH10)/SQRT(V$9)</f>
        <v>#NAME?</v>
      </c>
    </row>
    <row r="11" spans="1:65" x14ac:dyDescent="0.25">
      <c r="A11" s="365">
        <v>600</v>
      </c>
      <c r="B11" s="107">
        <v>170</v>
      </c>
      <c r="C11" s="7">
        <v>185</v>
      </c>
      <c r="D11" s="7">
        <v>181</v>
      </c>
      <c r="E11" s="108">
        <v>201</v>
      </c>
      <c r="G11" s="76" t="e">
        <f ca="1"/>
        <v>#NAME?</v>
      </c>
      <c r="H11" s="7" t="e">
        <f ca="1"/>
        <v>#NAME?</v>
      </c>
      <c r="I11" s="7" t="e">
        <f ca="1"/>
        <v>#NAME?</v>
      </c>
      <c r="J11" s="35" t="e">
        <f ca="1"/>
        <v>#NAME?</v>
      </c>
      <c r="L11" s="76"/>
      <c r="M11" s="7"/>
      <c r="N11" s="35" t="e">
        <f ca="1"/>
        <v>#NAME?</v>
      </c>
      <c r="O11" s="76">
        <f t="shared" ref="O11:O13" ca="1" si="9">SUMIF($N$47:$N$82,N11,$O$47:$O$82)</f>
        <v>1296</v>
      </c>
      <c r="P11" s="7" t="e">
        <f t="shared" ref="P11:P13" ca="1" si="10">IF(O11=0,"",AVERAGEIF($I$3:$I$38,$N11,$J$3:$J$38))</f>
        <v>#NAME?</v>
      </c>
      <c r="Q11" s="35" t="e">
        <f t="array" aca="1" ref="Q11" ca="1">IF(O11&lt;2,"",VAR(IF($I$3:$I$38=$N11,$J$3:$J$38,"")))</f>
        <v>#NAME?</v>
      </c>
      <c r="AW11" s="7" t="e">
        <f ca="1">AW3</f>
        <v>#NAME?</v>
      </c>
      <c r="AX11" s="7" t="e">
        <f ca="1">AW5</f>
        <v>#NAME?</v>
      </c>
      <c r="AY11" s="7" t="e">
        <f ca="1">ABS(AX3-AX5)</f>
        <v>#NAME?</v>
      </c>
      <c r="AZ11" s="7" t="e">
        <f t="shared" ref="AZ11:AZ15" ca="1" si="11">AY11/AZ$7</f>
        <v>#NAME?</v>
      </c>
      <c r="BA11" s="7" t="e">
        <f t="shared" ref="BA11:BA15" ca="1" si="12">AY11-BC$7</f>
        <v>#NAME?</v>
      </c>
      <c r="BB11" s="7" t="e">
        <f t="shared" ref="BB11:BB15" ca="1" si="13">AY11+BC$7</f>
        <v>#NAME?</v>
      </c>
      <c r="BC11" s="7" t="e">
        <f ca="1">QDIST(AZ11,COUNT(AY$3:AY$6),BA$7)</f>
        <v>#NAME?</v>
      </c>
      <c r="BD11" s="7" t="e">
        <f t="shared" ref="BD11:BD15" ca="1" si="14">ABS(AY11)/SQRT(V$6)</f>
        <v>#NAME?</v>
      </c>
      <c r="BF11" s="353" t="e">
        <f ca="1">BF4</f>
        <v>#NAME?</v>
      </c>
      <c r="BG11" s="353" t="e">
        <f ca="1">BF5</f>
        <v>#NAME?</v>
      </c>
      <c r="BH11" s="353" t="e">
        <f ca="1">ABS(BG4-BG5)</f>
        <v>#NAME?</v>
      </c>
      <c r="BI11" s="353" t="e">
        <f t="shared" ca="1" si="5"/>
        <v>#NAME?</v>
      </c>
      <c r="BJ11" s="353" t="e">
        <f t="shared" ca="1" si="6"/>
        <v>#NAME?</v>
      </c>
      <c r="BK11" s="353" t="e">
        <f t="shared" ca="1" si="7"/>
        <v>#NAME?</v>
      </c>
      <c r="BL11" s="353" t="e">
        <f ca="1">QDIST(BI11,COUNT(BH$3:BH$5),BJ$6)</f>
        <v>#NAME?</v>
      </c>
      <c r="BM11" s="353" t="e">
        <f t="shared" ca="1" si="8"/>
        <v>#NAME?</v>
      </c>
    </row>
    <row r="12" spans="1:65" x14ac:dyDescent="0.25">
      <c r="A12" s="365">
        <v>620</v>
      </c>
      <c r="B12" s="52">
        <v>213</v>
      </c>
      <c r="C12" s="353">
        <v>180</v>
      </c>
      <c r="D12" s="353">
        <v>182</v>
      </c>
      <c r="E12" s="56">
        <v>199</v>
      </c>
      <c r="G12" s="76" t="e">
        <f ca="1"/>
        <v>#NAME?</v>
      </c>
      <c r="H12" s="7" t="e">
        <f ca="1"/>
        <v>#NAME?</v>
      </c>
      <c r="I12" s="7" t="e">
        <f ca="1"/>
        <v>#NAME?</v>
      </c>
      <c r="J12" s="35" t="e">
        <f ca="1"/>
        <v>#NAME?</v>
      </c>
      <c r="L12" s="76"/>
      <c r="M12" s="7"/>
      <c r="N12" s="35" t="e">
        <f ca="1"/>
        <v>#NAME?</v>
      </c>
      <c r="O12" s="76">
        <f t="shared" ca="1" si="9"/>
        <v>1296</v>
      </c>
      <c r="P12" s="7" t="e">
        <f t="shared" ca="1" si="10"/>
        <v>#NAME?</v>
      </c>
      <c r="Q12" s="35" t="e">
        <f t="array" aca="1" ref="Q12" ca="1">IF(O12&lt;2,"",VAR(IF($I$3:$I$38=$N12,$J$3:$J$38,"")))</f>
        <v>#NAME?</v>
      </c>
      <c r="AW12" s="7" t="e">
        <f ca="1">AW3</f>
        <v>#NAME?</v>
      </c>
      <c r="AX12" s="7" t="e">
        <f ca="1">AW6</f>
        <v>#NAME?</v>
      </c>
      <c r="AY12" s="7" t="e">
        <f ca="1">ABS(AX3-AX6)</f>
        <v>#NAME?</v>
      </c>
      <c r="AZ12" s="7" t="e">
        <f t="shared" ca="1" si="11"/>
        <v>#NAME?</v>
      </c>
      <c r="BA12" s="7" t="e">
        <f t="shared" ca="1" si="12"/>
        <v>#NAME?</v>
      </c>
      <c r="BB12" s="7" t="e">
        <f t="shared" ca="1" si="13"/>
        <v>#NAME?</v>
      </c>
      <c r="BC12" s="7" t="e">
        <f ca="1">QDIST(AZ12,COUNT(AY$3:AY$6),BA$7)</f>
        <v>#NAME?</v>
      </c>
      <c r="BD12" s="7" t="e">
        <f t="shared" ca="1" si="14"/>
        <v>#NAME?</v>
      </c>
    </row>
    <row r="13" spans="1:65" x14ac:dyDescent="0.25">
      <c r="G13" s="76" t="e">
        <f ca="1"/>
        <v>#NAME?</v>
      </c>
      <c r="H13" s="7" t="e">
        <f ca="1"/>
        <v>#NAME?</v>
      </c>
      <c r="I13" s="7" t="e">
        <f ca="1"/>
        <v>#NAME?</v>
      </c>
      <c r="J13" s="35" t="e">
        <f ca="1"/>
        <v>#NAME?</v>
      </c>
      <c r="L13" s="348"/>
      <c r="M13" s="349"/>
      <c r="N13" s="350" t="e">
        <f ca="1"/>
        <v>#NAME?</v>
      </c>
      <c r="O13" s="348">
        <f t="shared" ca="1" si="9"/>
        <v>1296</v>
      </c>
      <c r="P13" s="349" t="e">
        <f t="shared" ca="1" si="10"/>
        <v>#NAME?</v>
      </c>
      <c r="Q13" s="350" t="e">
        <f t="array" aca="1" ref="Q13" ca="1">IF(O13&lt;2,"",VAR(IF($I$3:$I$38=$N13,$J$3:$J$38,"")))</f>
        <v>#NAME?</v>
      </c>
      <c r="AW13" s="7" t="e">
        <f ca="1">AW4</f>
        <v>#NAME?</v>
      </c>
      <c r="AX13" s="7" t="e">
        <f ca="1">AW5</f>
        <v>#NAME?</v>
      </c>
      <c r="AY13" s="7" t="e">
        <f ca="1">ABS(AX4-AX5)</f>
        <v>#NAME?</v>
      </c>
      <c r="AZ13" s="7" t="e">
        <f t="shared" ca="1" si="11"/>
        <v>#NAME?</v>
      </c>
      <c r="BA13" s="7" t="e">
        <f t="shared" ca="1" si="12"/>
        <v>#NAME?</v>
      </c>
      <c r="BB13" s="7" t="e">
        <f t="shared" ca="1" si="13"/>
        <v>#NAME?</v>
      </c>
      <c r="BC13" s="7" t="e">
        <f ca="1">QDIST(AZ13,COUNT(AY$3:AY$6),BA$7)</f>
        <v>#NAME?</v>
      </c>
      <c r="BD13" s="7" t="e">
        <f t="shared" ca="1" si="14"/>
        <v>#NAME?</v>
      </c>
    </row>
    <row r="14" spans="1:65" x14ac:dyDescent="0.25">
      <c r="G14" s="76" t="e">
        <f ca="1"/>
        <v>#NAME?</v>
      </c>
      <c r="H14" s="7" t="e">
        <f ca="1"/>
        <v>#NAME?</v>
      </c>
      <c r="I14" s="7" t="e">
        <f ca="1"/>
        <v>#NAME?</v>
      </c>
      <c r="J14" s="35" t="e">
        <f ca="1"/>
        <v>#NAME?</v>
      </c>
      <c r="L14" s="410" t="e">
        <f ca="1">$L$4</f>
        <v>#NAME?</v>
      </c>
      <c r="M14" s="411" t="e">
        <f ca="1">$M7</f>
        <v>#NAME?</v>
      </c>
      <c r="N14" s="412"/>
      <c r="O14" s="410">
        <f ca="1">SUMIFS($O$47:$O$82,$L$47:$L$82,L14,$M$47:$M$82,M14)</f>
        <v>1296</v>
      </c>
      <c r="P14" s="411" t="e">
        <f ca="1">IF(O14=0,"",AVERAGEIFS($J$3:$J$38,$G$3:$G$38,$L14,$H$3:$H$38,$M14))</f>
        <v>#NAME?</v>
      </c>
      <c r="Q14" s="412" t="e">
        <f t="array" aca="1" ref="Q14" ca="1">IF(O14&lt;2,"",VAR(IF($G$3:$G$38=$L14,IF($H$3:$H$38=$M14,$J$3:$J$38,""))))</f>
        <v>#NAME?</v>
      </c>
      <c r="AW14" s="7" t="e">
        <f ca="1">AW4</f>
        <v>#NAME?</v>
      </c>
      <c r="AX14" s="7" t="e">
        <f ca="1">AW6</f>
        <v>#NAME?</v>
      </c>
      <c r="AY14" s="7" t="e">
        <f ca="1">ABS(AX4-AX6)</f>
        <v>#NAME?</v>
      </c>
      <c r="AZ14" s="7" t="e">
        <f t="shared" ca="1" si="11"/>
        <v>#NAME?</v>
      </c>
      <c r="BA14" s="7" t="e">
        <f t="shared" ca="1" si="12"/>
        <v>#NAME?</v>
      </c>
      <c r="BB14" s="7" t="e">
        <f t="shared" ca="1" si="13"/>
        <v>#NAME?</v>
      </c>
      <c r="BC14" s="7" t="e">
        <f ca="1">QDIST(AZ14,COUNT(AY$3:AY$6),BA$7)</f>
        <v>#NAME?</v>
      </c>
      <c r="BD14" s="7" t="e">
        <f t="shared" ca="1" si="14"/>
        <v>#NAME?</v>
      </c>
    </row>
    <row r="15" spans="1:65" x14ac:dyDescent="0.25">
      <c r="G15" s="76" t="e">
        <f ca="1"/>
        <v>#NAME?</v>
      </c>
      <c r="H15" s="7" t="e">
        <f ca="1"/>
        <v>#NAME?</v>
      </c>
      <c r="I15" s="7" t="e">
        <f ca="1"/>
        <v>#NAME?</v>
      </c>
      <c r="J15" s="35" t="e">
        <f ca="1"/>
        <v>#NAME?</v>
      </c>
      <c r="L15" s="76" t="e">
        <f t="shared" ref="L15:L16" ca="1" si="15">$L$4</f>
        <v>#NAME?</v>
      </c>
      <c r="M15" s="7" t="e">
        <f t="shared" ref="M15:M16" ca="1" si="16">$M8</f>
        <v>#NAME?</v>
      </c>
      <c r="N15" s="35"/>
      <c r="O15" s="76">
        <f t="shared" ref="O15:O22" ca="1" si="17">SUMIFS($O$47:$O$82,$L$47:$L$82,L15,$M$47:$M$82,M15)</f>
        <v>1296</v>
      </c>
      <c r="P15" s="7" t="e">
        <f t="shared" ref="P15:P22" ca="1" si="18">IF(O15=0,"",AVERAGEIFS($J$3:$J$38,$G$3:$G$38,$L15,$H$3:$H$38,$M15))</f>
        <v>#NAME?</v>
      </c>
      <c r="Q15" s="35" t="e">
        <f t="array" aca="1" ref="Q15" ca="1">IF(O15&lt;2,"",VAR(IF($G$3:$G$38=$L15,IF($H$3:$H$38=$M15,$J$3:$J$38,""))))</f>
        <v>#NAME?</v>
      </c>
      <c r="AW15" s="353" t="e">
        <f ca="1">AW5</f>
        <v>#NAME?</v>
      </c>
      <c r="AX15" s="353" t="e">
        <f ca="1">AW6</f>
        <v>#NAME?</v>
      </c>
      <c r="AY15" s="353" t="e">
        <f ca="1">ABS(AX5-AX6)</f>
        <v>#NAME?</v>
      </c>
      <c r="AZ15" s="353" t="e">
        <f t="shared" ca="1" si="11"/>
        <v>#NAME?</v>
      </c>
      <c r="BA15" s="353" t="e">
        <f t="shared" ca="1" si="12"/>
        <v>#NAME?</v>
      </c>
      <c r="BB15" s="353" t="e">
        <f t="shared" ca="1" si="13"/>
        <v>#NAME?</v>
      </c>
      <c r="BC15" s="353" t="e">
        <f ca="1">QDIST(AZ15,COUNT(AY$3:AY$6),BA$7)</f>
        <v>#NAME?</v>
      </c>
      <c r="BD15" s="353" t="e">
        <f t="shared" ca="1" si="14"/>
        <v>#NAME?</v>
      </c>
    </row>
    <row r="16" spans="1:65" x14ac:dyDescent="0.25">
      <c r="G16" s="76" t="e">
        <f ca="1"/>
        <v>#NAME?</v>
      </c>
      <c r="H16" s="7" t="e">
        <f ca="1"/>
        <v>#NAME?</v>
      </c>
      <c r="I16" s="7" t="e">
        <f ca="1"/>
        <v>#NAME?</v>
      </c>
      <c r="J16" s="35" t="e">
        <f ca="1"/>
        <v>#NAME?</v>
      </c>
      <c r="L16" s="76" t="e">
        <f t="shared" ca="1" si="15"/>
        <v>#NAME?</v>
      </c>
      <c r="M16" s="7" t="e">
        <f t="shared" ca="1" si="16"/>
        <v>#NAME?</v>
      </c>
      <c r="N16" s="35"/>
      <c r="O16" s="76">
        <f t="shared" ca="1" si="17"/>
        <v>1296</v>
      </c>
      <c r="P16" s="7" t="e">
        <f t="shared" ca="1" si="18"/>
        <v>#NAME?</v>
      </c>
      <c r="Q16" s="35" t="e">
        <f t="array" aca="1" ref="Q16" ca="1">IF(O16&lt;2,"",VAR(IF($G$3:$G$38=$L16,IF($H$3:$H$38=$M16,$J$3:$J$38,""))))</f>
        <v>#NAME?</v>
      </c>
    </row>
    <row r="17" spans="7:17" x14ac:dyDescent="0.25">
      <c r="G17" s="76" t="e">
        <f ca="1"/>
        <v>#NAME?</v>
      </c>
      <c r="H17" s="7" t="e">
        <f ca="1"/>
        <v>#NAME?</v>
      </c>
      <c r="I17" s="7" t="e">
        <f ca="1"/>
        <v>#NAME?</v>
      </c>
      <c r="J17" s="35" t="e">
        <f ca="1"/>
        <v>#NAME?</v>
      </c>
      <c r="L17" s="76" t="e">
        <f ca="1">$L$5</f>
        <v>#NAME?</v>
      </c>
      <c r="M17" s="7" t="e">
        <f ca="1">$M7</f>
        <v>#NAME?</v>
      </c>
      <c r="N17" s="35"/>
      <c r="O17" s="76">
        <f t="shared" ca="1" si="17"/>
        <v>1296</v>
      </c>
      <c r="P17" s="7" t="e">
        <f t="shared" ca="1" si="18"/>
        <v>#NAME?</v>
      </c>
      <c r="Q17" s="35" t="e">
        <f t="array" aca="1" ref="Q17" ca="1">IF(O17&lt;2,"",VAR(IF($G$3:$G$38=$L17,IF($H$3:$H$38=$M17,$J$3:$J$38,""))))</f>
        <v>#NAME?</v>
      </c>
    </row>
    <row r="18" spans="7:17" x14ac:dyDescent="0.25">
      <c r="G18" s="76" t="e">
        <f ca="1"/>
        <v>#NAME?</v>
      </c>
      <c r="H18" s="7" t="e">
        <f ca="1"/>
        <v>#NAME?</v>
      </c>
      <c r="I18" s="7" t="e">
        <f ca="1"/>
        <v>#NAME?</v>
      </c>
      <c r="J18" s="35" t="e">
        <f ca="1"/>
        <v>#NAME?</v>
      </c>
      <c r="L18" s="76" t="e">
        <f t="shared" ref="L18:L19" ca="1" si="19">$L$5</f>
        <v>#NAME?</v>
      </c>
      <c r="M18" s="7" t="e">
        <f t="shared" ref="M18:M19" ca="1" si="20">$M8</f>
        <v>#NAME?</v>
      </c>
      <c r="N18" s="35"/>
      <c r="O18" s="76">
        <f t="shared" ca="1" si="17"/>
        <v>1296</v>
      </c>
      <c r="P18" s="7" t="e">
        <f t="shared" ca="1" si="18"/>
        <v>#NAME?</v>
      </c>
      <c r="Q18" s="35" t="e">
        <f t="array" aca="1" ref="Q18" ca="1">IF(O18&lt;2,"",VAR(IF($G$3:$G$38=$L18,IF($H$3:$H$38=$M18,$J$3:$J$38,""))))</f>
        <v>#NAME?</v>
      </c>
    </row>
    <row r="19" spans="7:17" x14ac:dyDescent="0.25">
      <c r="G19" s="76" t="e">
        <f ca="1"/>
        <v>#NAME?</v>
      </c>
      <c r="H19" s="7" t="e">
        <f ca="1"/>
        <v>#NAME?</v>
      </c>
      <c r="I19" s="7" t="e">
        <f ca="1"/>
        <v>#NAME?</v>
      </c>
      <c r="J19" s="35" t="e">
        <f ca="1"/>
        <v>#NAME?</v>
      </c>
      <c r="L19" s="76" t="e">
        <f t="shared" ca="1" si="19"/>
        <v>#NAME?</v>
      </c>
      <c r="M19" s="7" t="e">
        <f t="shared" ca="1" si="20"/>
        <v>#NAME?</v>
      </c>
      <c r="N19" s="35"/>
      <c r="O19" s="76">
        <f t="shared" ca="1" si="17"/>
        <v>1296</v>
      </c>
      <c r="P19" s="7" t="e">
        <f t="shared" ca="1" si="18"/>
        <v>#NAME?</v>
      </c>
      <c r="Q19" s="35" t="e">
        <f t="array" aca="1" ref="Q19" ca="1">IF(O19&lt;2,"",VAR(IF($G$3:$G$38=$L19,IF($H$3:$H$38=$M19,$J$3:$J$38,""))))</f>
        <v>#NAME?</v>
      </c>
    </row>
    <row r="20" spans="7:17" x14ac:dyDescent="0.25">
      <c r="G20" s="76" t="e">
        <f ca="1"/>
        <v>#NAME?</v>
      </c>
      <c r="H20" s="7" t="e">
        <f ca="1"/>
        <v>#NAME?</v>
      </c>
      <c r="I20" s="7" t="e">
        <f ca="1"/>
        <v>#NAME?</v>
      </c>
      <c r="J20" s="35" t="e">
        <f ca="1"/>
        <v>#NAME?</v>
      </c>
      <c r="L20" s="76" t="e">
        <f ca="1">$L$6</f>
        <v>#NAME?</v>
      </c>
      <c r="M20" s="7" t="e">
        <f ca="1">$M7</f>
        <v>#NAME?</v>
      </c>
      <c r="N20" s="35"/>
      <c r="O20" s="76">
        <f t="shared" ca="1" si="17"/>
        <v>1296</v>
      </c>
      <c r="P20" s="7" t="e">
        <f t="shared" ca="1" si="18"/>
        <v>#NAME?</v>
      </c>
      <c r="Q20" s="35" t="e">
        <f t="array" aca="1" ref="Q20" ca="1">IF(O20&lt;2,"",VAR(IF($G$3:$G$38=$L20,IF($H$3:$H$38=$M20,$J$3:$J$38,""))))</f>
        <v>#NAME?</v>
      </c>
    </row>
    <row r="21" spans="7:17" x14ac:dyDescent="0.25">
      <c r="G21" s="76" t="e">
        <f ca="1"/>
        <v>#NAME?</v>
      </c>
      <c r="H21" s="7" t="e">
        <f ca="1"/>
        <v>#NAME?</v>
      </c>
      <c r="I21" s="7" t="e">
        <f ca="1"/>
        <v>#NAME?</v>
      </c>
      <c r="J21" s="35" t="e">
        <f ca="1"/>
        <v>#NAME?</v>
      </c>
      <c r="L21" s="76" t="e">
        <f t="shared" ref="L21:L22" ca="1" si="21">$L$6</f>
        <v>#NAME?</v>
      </c>
      <c r="M21" s="7" t="e">
        <f t="shared" ref="M21:M22" ca="1" si="22">$M8</f>
        <v>#NAME?</v>
      </c>
      <c r="N21" s="35"/>
      <c r="O21" s="76">
        <f t="shared" ca="1" si="17"/>
        <v>1296</v>
      </c>
      <c r="P21" s="7" t="e">
        <f t="shared" ca="1" si="18"/>
        <v>#NAME?</v>
      </c>
      <c r="Q21" s="35" t="e">
        <f t="array" aca="1" ref="Q21" ca="1">IF(O21&lt;2,"",VAR(IF($G$3:$G$38=$L21,IF($H$3:$H$38=$M21,$J$3:$J$38,""))))</f>
        <v>#NAME?</v>
      </c>
    </row>
    <row r="22" spans="7:17" x14ac:dyDescent="0.25">
      <c r="G22" s="76" t="e">
        <f ca="1"/>
        <v>#NAME?</v>
      </c>
      <c r="H22" s="7" t="e">
        <f ca="1"/>
        <v>#NAME?</v>
      </c>
      <c r="I22" s="7" t="e">
        <f ca="1"/>
        <v>#NAME?</v>
      </c>
      <c r="J22" s="35" t="e">
        <f ca="1"/>
        <v>#NAME?</v>
      </c>
      <c r="L22" s="348" t="e">
        <f t="shared" ca="1" si="21"/>
        <v>#NAME?</v>
      </c>
      <c r="M22" s="349" t="e">
        <f t="shared" ca="1" si="22"/>
        <v>#NAME?</v>
      </c>
      <c r="N22" s="350"/>
      <c r="O22" s="348">
        <f t="shared" ca="1" si="17"/>
        <v>1296</v>
      </c>
      <c r="P22" s="349" t="e">
        <f t="shared" ca="1" si="18"/>
        <v>#NAME?</v>
      </c>
      <c r="Q22" s="350" t="e">
        <f t="array" aca="1" ref="Q22" ca="1">IF(O22&lt;2,"",VAR(IF($G$3:$G$38=$L22,IF($H$3:$H$38=$M22,$J$3:$J$38,""))))</f>
        <v>#NAME?</v>
      </c>
    </row>
    <row r="23" spans="7:17" x14ac:dyDescent="0.25">
      <c r="G23" s="76" t="e">
        <f ca="1"/>
        <v>#NAME?</v>
      </c>
      <c r="H23" s="7" t="e">
        <f ca="1"/>
        <v>#NAME?</v>
      </c>
      <c r="I23" s="7" t="e">
        <f ca="1"/>
        <v>#NAME?</v>
      </c>
      <c r="J23" s="35" t="e">
        <f ca="1"/>
        <v>#NAME?</v>
      </c>
      <c r="L23" s="410" t="e">
        <f ca="1">$L$4</f>
        <v>#NAME?</v>
      </c>
      <c r="M23" s="411"/>
      <c r="N23" s="412" t="e">
        <f ca="1">$N10</f>
        <v>#NAME?</v>
      </c>
      <c r="O23" s="410">
        <f ca="1">SUMIFS($O$47:$O$82,$L$47:$L$82,L23,$N$47:$N$82,N23)</f>
        <v>1296</v>
      </c>
      <c r="P23" s="411" t="e">
        <f ca="1">IF(O23=0,"",AVERAGEIFS($J$3:$J$38,$G$3:$G$38,$L23,$I$3:$I$38,$N23))</f>
        <v>#NAME?</v>
      </c>
      <c r="Q23" s="412" t="e">
        <f t="array" aca="1" ref="Q23" ca="1">IF(O23&lt;2,"",VAR(IF($G$3:$G$38=$L23,IF($I$3:$I$38=$N23,$J$3:$J$38,""))))</f>
        <v>#NAME?</v>
      </c>
    </row>
    <row r="24" spans="7:17" x14ac:dyDescent="0.25">
      <c r="G24" s="76" t="e">
        <f ca="1"/>
        <v>#NAME?</v>
      </c>
      <c r="H24" s="7" t="e">
        <f ca="1"/>
        <v>#NAME?</v>
      </c>
      <c r="I24" s="7" t="e">
        <f ca="1"/>
        <v>#NAME?</v>
      </c>
      <c r="J24" s="35" t="e">
        <f ca="1"/>
        <v>#NAME?</v>
      </c>
      <c r="L24" s="76" t="e">
        <f t="shared" ref="L24:L26" ca="1" si="23">$L$4</f>
        <v>#NAME?</v>
      </c>
      <c r="M24" s="7"/>
      <c r="N24" s="35" t="e">
        <f t="shared" ref="N24:N26" ca="1" si="24">$N11</f>
        <v>#NAME?</v>
      </c>
      <c r="O24" s="76">
        <f t="shared" ref="O24:O34" ca="1" si="25">SUMIFS($O$47:$O$82,$L$47:$L$82,L24,$N$47:$N$82,N24)</f>
        <v>1296</v>
      </c>
      <c r="P24" s="7" t="e">
        <f t="shared" ref="P24:P34" ca="1" si="26">IF(O24=0,"",AVERAGEIFS($J$3:$J$38,$G$3:$G$38,$L24,$I$3:$I$38,$N24))</f>
        <v>#NAME?</v>
      </c>
      <c r="Q24" s="35" t="e">
        <f t="array" aca="1" ref="Q24" ca="1">IF(O24&lt;2,"",VAR(IF($G$3:$G$38=$L24,IF($I$3:$I$38=$N24,$J$3:$J$38,""))))</f>
        <v>#NAME?</v>
      </c>
    </row>
    <row r="25" spans="7:17" x14ac:dyDescent="0.25">
      <c r="G25" s="76" t="e">
        <f ca="1"/>
        <v>#NAME?</v>
      </c>
      <c r="H25" s="7" t="e">
        <f ca="1"/>
        <v>#NAME?</v>
      </c>
      <c r="I25" s="7" t="e">
        <f ca="1"/>
        <v>#NAME?</v>
      </c>
      <c r="J25" s="35" t="e">
        <f ca="1"/>
        <v>#NAME?</v>
      </c>
      <c r="L25" s="76" t="e">
        <f t="shared" ca="1" si="23"/>
        <v>#NAME?</v>
      </c>
      <c r="M25" s="7"/>
      <c r="N25" s="35" t="e">
        <f t="shared" ca="1" si="24"/>
        <v>#NAME?</v>
      </c>
      <c r="O25" s="76">
        <f t="shared" ca="1" si="25"/>
        <v>1296</v>
      </c>
      <c r="P25" s="7" t="e">
        <f t="shared" ca="1" si="26"/>
        <v>#NAME?</v>
      </c>
      <c r="Q25" s="35" t="e">
        <f t="array" aca="1" ref="Q25" ca="1">IF(O25&lt;2,"",VAR(IF($G$3:$G$38=$L25,IF($I$3:$I$38=$N25,$J$3:$J$38,""))))</f>
        <v>#NAME?</v>
      </c>
    </row>
    <row r="26" spans="7:17" x14ac:dyDescent="0.25">
      <c r="G26" s="76" t="e">
        <f ca="1"/>
        <v>#NAME?</v>
      </c>
      <c r="H26" s="7" t="e">
        <f ca="1"/>
        <v>#NAME?</v>
      </c>
      <c r="I26" s="7" t="e">
        <f ca="1"/>
        <v>#NAME?</v>
      </c>
      <c r="J26" s="35" t="e">
        <f ca="1"/>
        <v>#NAME?</v>
      </c>
      <c r="L26" s="76" t="e">
        <f t="shared" ca="1" si="23"/>
        <v>#NAME?</v>
      </c>
      <c r="M26" s="7"/>
      <c r="N26" s="35" t="e">
        <f t="shared" ca="1" si="24"/>
        <v>#NAME?</v>
      </c>
      <c r="O26" s="76">
        <f t="shared" ca="1" si="25"/>
        <v>1296</v>
      </c>
      <c r="P26" s="7" t="e">
        <f t="shared" ca="1" si="26"/>
        <v>#NAME?</v>
      </c>
      <c r="Q26" s="35" t="e">
        <f t="array" aca="1" ref="Q26" ca="1">IF(O26&lt;2,"",VAR(IF($G$3:$G$38=$L26,IF($I$3:$I$38=$N26,$J$3:$J$38,""))))</f>
        <v>#NAME?</v>
      </c>
    </row>
    <row r="27" spans="7:17" x14ac:dyDescent="0.25">
      <c r="G27" s="76" t="e">
        <f ca="1"/>
        <v>#NAME?</v>
      </c>
      <c r="H27" s="7" t="e">
        <f ca="1"/>
        <v>#NAME?</v>
      </c>
      <c r="I27" s="7" t="e">
        <f ca="1"/>
        <v>#NAME?</v>
      </c>
      <c r="J27" s="35" t="e">
        <f ca="1"/>
        <v>#NAME?</v>
      </c>
      <c r="L27" s="76" t="e">
        <f ca="1">$L$5</f>
        <v>#NAME?</v>
      </c>
      <c r="M27" s="7"/>
      <c r="N27" s="35" t="e">
        <f ca="1">$N10</f>
        <v>#NAME?</v>
      </c>
      <c r="O27" s="76">
        <f t="shared" ca="1" si="25"/>
        <v>1296</v>
      </c>
      <c r="P27" s="7" t="e">
        <f t="shared" ca="1" si="26"/>
        <v>#NAME?</v>
      </c>
      <c r="Q27" s="35" t="e">
        <f t="array" aca="1" ref="Q27" ca="1">IF(O27&lt;2,"",VAR(IF($G$3:$G$38=$L27,IF($I$3:$I$38=$N27,$J$3:$J$38,""))))</f>
        <v>#NAME?</v>
      </c>
    </row>
    <row r="28" spans="7:17" x14ac:dyDescent="0.25">
      <c r="G28" s="76" t="e">
        <f ca="1"/>
        <v>#NAME?</v>
      </c>
      <c r="H28" s="7" t="e">
        <f ca="1"/>
        <v>#NAME?</v>
      </c>
      <c r="I28" s="7" t="e">
        <f ca="1"/>
        <v>#NAME?</v>
      </c>
      <c r="J28" s="35" t="e">
        <f ca="1"/>
        <v>#NAME?</v>
      </c>
      <c r="L28" s="76" t="e">
        <f t="shared" ref="L28:L30" ca="1" si="27">$L$5</f>
        <v>#NAME?</v>
      </c>
      <c r="M28" s="7"/>
      <c r="N28" s="35" t="e">
        <f t="shared" ref="N28:N30" ca="1" si="28">$N11</f>
        <v>#NAME?</v>
      </c>
      <c r="O28" s="76">
        <f t="shared" ca="1" si="25"/>
        <v>1296</v>
      </c>
      <c r="P28" s="7" t="e">
        <f t="shared" ca="1" si="26"/>
        <v>#NAME?</v>
      </c>
      <c r="Q28" s="35" t="e">
        <f t="array" aca="1" ref="Q28" ca="1">IF(O28&lt;2,"",VAR(IF($G$3:$G$38=$L28,IF($I$3:$I$38=$N28,$J$3:$J$38,""))))</f>
        <v>#NAME?</v>
      </c>
    </row>
    <row r="29" spans="7:17" x14ac:dyDescent="0.25">
      <c r="G29" s="76" t="e">
        <f ca="1"/>
        <v>#NAME?</v>
      </c>
      <c r="H29" s="7" t="e">
        <f ca="1"/>
        <v>#NAME?</v>
      </c>
      <c r="I29" s="7" t="e">
        <f ca="1"/>
        <v>#NAME?</v>
      </c>
      <c r="J29" s="35" t="e">
        <f ca="1"/>
        <v>#NAME?</v>
      </c>
      <c r="L29" s="76" t="e">
        <f t="shared" ca="1" si="27"/>
        <v>#NAME?</v>
      </c>
      <c r="M29" s="7"/>
      <c r="N29" s="35" t="e">
        <f t="shared" ca="1" si="28"/>
        <v>#NAME?</v>
      </c>
      <c r="O29" s="76">
        <f t="shared" ca="1" si="25"/>
        <v>1296</v>
      </c>
      <c r="P29" s="7" t="e">
        <f t="shared" ca="1" si="26"/>
        <v>#NAME?</v>
      </c>
      <c r="Q29" s="35" t="e">
        <f t="array" aca="1" ref="Q29" ca="1">IF(O29&lt;2,"",VAR(IF($G$3:$G$38=$L29,IF($I$3:$I$38=$N29,$J$3:$J$38,""))))</f>
        <v>#NAME?</v>
      </c>
    </row>
    <row r="30" spans="7:17" x14ac:dyDescent="0.25">
      <c r="G30" s="76" t="e">
        <f ca="1"/>
        <v>#NAME?</v>
      </c>
      <c r="H30" s="7" t="e">
        <f ca="1"/>
        <v>#NAME?</v>
      </c>
      <c r="I30" s="7" t="e">
        <f ca="1"/>
        <v>#NAME?</v>
      </c>
      <c r="J30" s="35" t="e">
        <f ca="1"/>
        <v>#NAME?</v>
      </c>
      <c r="L30" s="76" t="e">
        <f t="shared" ca="1" si="27"/>
        <v>#NAME?</v>
      </c>
      <c r="M30" s="7"/>
      <c r="N30" s="35" t="e">
        <f t="shared" ca="1" si="28"/>
        <v>#NAME?</v>
      </c>
      <c r="O30" s="76">
        <f t="shared" ca="1" si="25"/>
        <v>1296</v>
      </c>
      <c r="P30" s="7" t="e">
        <f t="shared" ca="1" si="26"/>
        <v>#NAME?</v>
      </c>
      <c r="Q30" s="35" t="e">
        <f t="array" aca="1" ref="Q30" ca="1">IF(O30&lt;2,"",VAR(IF($G$3:$G$38=$L30,IF($I$3:$I$38=$N30,$J$3:$J$38,""))))</f>
        <v>#NAME?</v>
      </c>
    </row>
    <row r="31" spans="7:17" x14ac:dyDescent="0.25">
      <c r="G31" s="76" t="e">
        <f ca="1"/>
        <v>#NAME?</v>
      </c>
      <c r="H31" s="7" t="e">
        <f ca="1"/>
        <v>#NAME?</v>
      </c>
      <c r="I31" s="7" t="e">
        <f ca="1"/>
        <v>#NAME?</v>
      </c>
      <c r="J31" s="35" t="e">
        <f ca="1"/>
        <v>#NAME?</v>
      </c>
      <c r="L31" s="76" t="e">
        <f ca="1">$L$6</f>
        <v>#NAME?</v>
      </c>
      <c r="M31" s="7"/>
      <c r="N31" s="35" t="e">
        <f ca="1">$N10</f>
        <v>#NAME?</v>
      </c>
      <c r="O31" s="76">
        <f t="shared" ca="1" si="25"/>
        <v>1296</v>
      </c>
      <c r="P31" s="7" t="e">
        <f t="shared" ca="1" si="26"/>
        <v>#NAME?</v>
      </c>
      <c r="Q31" s="35" t="e">
        <f t="array" aca="1" ref="Q31" ca="1">IF(O31&lt;2,"",VAR(IF($G$3:$G$38=$L31,IF($I$3:$I$38=$N31,$J$3:$J$38,""))))</f>
        <v>#NAME?</v>
      </c>
    </row>
    <row r="32" spans="7:17" x14ac:dyDescent="0.25">
      <c r="G32" s="76" t="e">
        <f ca="1"/>
        <v>#NAME?</v>
      </c>
      <c r="H32" s="7" t="e">
        <f ca="1"/>
        <v>#NAME?</v>
      </c>
      <c r="I32" s="7" t="e">
        <f ca="1"/>
        <v>#NAME?</v>
      </c>
      <c r="J32" s="35" t="e">
        <f ca="1"/>
        <v>#NAME?</v>
      </c>
      <c r="L32" s="76" t="e">
        <f t="shared" ref="L32:L34" ca="1" si="29">$L$6</f>
        <v>#NAME?</v>
      </c>
      <c r="M32" s="7"/>
      <c r="N32" s="35" t="e">
        <f t="shared" ref="N32:N34" ca="1" si="30">$N11</f>
        <v>#NAME?</v>
      </c>
      <c r="O32" s="76">
        <f t="shared" ca="1" si="25"/>
        <v>1296</v>
      </c>
      <c r="P32" s="7" t="e">
        <f t="shared" ca="1" si="26"/>
        <v>#NAME?</v>
      </c>
      <c r="Q32" s="35" t="e">
        <f t="array" aca="1" ref="Q32" ca="1">IF(O32&lt;2,"",VAR(IF($G$3:$G$38=$L32,IF($I$3:$I$38=$N32,$J$3:$J$38,""))))</f>
        <v>#NAME?</v>
      </c>
    </row>
    <row r="33" spans="7:17" x14ac:dyDescent="0.25">
      <c r="G33" s="76" t="e">
        <f ca="1"/>
        <v>#NAME?</v>
      </c>
      <c r="H33" s="7" t="e">
        <f ca="1"/>
        <v>#NAME?</v>
      </c>
      <c r="I33" s="7" t="e">
        <f ca="1"/>
        <v>#NAME?</v>
      </c>
      <c r="J33" s="35" t="e">
        <f ca="1"/>
        <v>#NAME?</v>
      </c>
      <c r="L33" s="76" t="e">
        <f t="shared" ca="1" si="29"/>
        <v>#NAME?</v>
      </c>
      <c r="M33" s="7"/>
      <c r="N33" s="35" t="e">
        <f t="shared" ca="1" si="30"/>
        <v>#NAME?</v>
      </c>
      <c r="O33" s="76">
        <f t="shared" ca="1" si="25"/>
        <v>1296</v>
      </c>
      <c r="P33" s="7" t="e">
        <f t="shared" ca="1" si="26"/>
        <v>#NAME?</v>
      </c>
      <c r="Q33" s="35" t="e">
        <f t="array" aca="1" ref="Q33" ca="1">IF(O33&lt;2,"",VAR(IF($G$3:$G$38=$L33,IF($I$3:$I$38=$N33,$J$3:$J$38,""))))</f>
        <v>#NAME?</v>
      </c>
    </row>
    <row r="34" spans="7:17" x14ac:dyDescent="0.25">
      <c r="G34" s="76" t="e">
        <f ca="1"/>
        <v>#NAME?</v>
      </c>
      <c r="H34" s="7" t="e">
        <f ca="1"/>
        <v>#NAME?</v>
      </c>
      <c r="I34" s="7" t="e">
        <f ca="1"/>
        <v>#NAME?</v>
      </c>
      <c r="J34" s="35" t="e">
        <f ca="1"/>
        <v>#NAME?</v>
      </c>
      <c r="L34" s="348" t="e">
        <f t="shared" ca="1" si="29"/>
        <v>#NAME?</v>
      </c>
      <c r="M34" s="349"/>
      <c r="N34" s="350" t="e">
        <f t="shared" ca="1" si="30"/>
        <v>#NAME?</v>
      </c>
      <c r="O34" s="348">
        <f t="shared" ca="1" si="25"/>
        <v>1296</v>
      </c>
      <c r="P34" s="349" t="e">
        <f t="shared" ca="1" si="26"/>
        <v>#NAME?</v>
      </c>
      <c r="Q34" s="350" t="e">
        <f t="array" aca="1" ref="Q34" ca="1">IF(O34&lt;2,"",VAR(IF($G$3:$G$38=$L34,IF($I$3:$I$38=$N34,$J$3:$J$38,""))))</f>
        <v>#NAME?</v>
      </c>
    </row>
    <row r="35" spans="7:17" x14ac:dyDescent="0.25">
      <c r="G35" s="76" t="e">
        <f ca="1"/>
        <v>#NAME?</v>
      </c>
      <c r="H35" s="7" t="e">
        <f ca="1"/>
        <v>#NAME?</v>
      </c>
      <c r="I35" s="7" t="e">
        <f ca="1"/>
        <v>#NAME?</v>
      </c>
      <c r="J35" s="35" t="e">
        <f ca="1"/>
        <v>#NAME?</v>
      </c>
      <c r="L35" s="410"/>
      <c r="M35" s="411" t="e">
        <f ca="1">$M$7</f>
        <v>#NAME?</v>
      </c>
      <c r="N35" s="412" t="e">
        <f ca="1">$N10</f>
        <v>#NAME?</v>
      </c>
      <c r="O35" s="410">
        <f ca="1">SUMIFS($O$47:$O$82,$M$47:$M$82,M35,$N$47:$N$82,N35)</f>
        <v>1296</v>
      </c>
      <c r="P35" s="411" t="e">
        <f ca="1">IF(O35=0,"",AVERAGEIFS($J$3:$J$38,$H$3:$H$38,$M35,$I$3:$I$38,$N35))</f>
        <v>#NAME?</v>
      </c>
      <c r="Q35" s="412" t="e">
        <f t="array" aca="1" ref="Q35" ca="1">IF(O35&lt;2,"",VAR(IF($H$3:$H$38=$M35,IF($I$3:$I$38=$N35,$J$3:$J$38,""))))</f>
        <v>#NAME?</v>
      </c>
    </row>
    <row r="36" spans="7:17" x14ac:dyDescent="0.25">
      <c r="G36" s="76" t="e">
        <f ca="1"/>
        <v>#NAME?</v>
      </c>
      <c r="H36" s="7" t="e">
        <f ca="1"/>
        <v>#NAME?</v>
      </c>
      <c r="I36" s="7" t="e">
        <f ca="1"/>
        <v>#NAME?</v>
      </c>
      <c r="J36" s="35" t="e">
        <f ca="1"/>
        <v>#NAME?</v>
      </c>
      <c r="L36" s="76"/>
      <c r="M36" s="7" t="e">
        <f t="shared" ref="M36:M38" ca="1" si="31">$M$7</f>
        <v>#NAME?</v>
      </c>
      <c r="N36" s="35" t="e">
        <f t="shared" ref="N36:N38" ca="1" si="32">$N11</f>
        <v>#NAME?</v>
      </c>
      <c r="O36" s="76">
        <f t="shared" ref="O36:O46" ca="1" si="33">SUMIFS($O$47:$O$82,$M$47:$M$82,M36,$N$47:$N$82,N36)</f>
        <v>1296</v>
      </c>
      <c r="P36" s="7" t="e">
        <f t="shared" ref="P36:P46" ca="1" si="34">IF(O36=0,"",AVERAGEIFS($J$3:$J$38,$H$3:$H$38,$M36,$I$3:$I$38,$N36))</f>
        <v>#NAME?</v>
      </c>
      <c r="Q36" s="35" t="e">
        <f t="array" aca="1" ref="Q36" ca="1">IF(O36&lt;2,"",VAR(IF($H$3:$H$38=$M36,IF($I$3:$I$38=$N36,$J$3:$J$38,""))))</f>
        <v>#NAME?</v>
      </c>
    </row>
    <row r="37" spans="7:17" x14ac:dyDescent="0.25">
      <c r="G37" s="76" t="e">
        <f ca="1"/>
        <v>#NAME?</v>
      </c>
      <c r="H37" s="7" t="e">
        <f ca="1"/>
        <v>#NAME?</v>
      </c>
      <c r="I37" s="7" t="e">
        <f ca="1"/>
        <v>#NAME?</v>
      </c>
      <c r="J37" s="35" t="e">
        <f ca="1"/>
        <v>#NAME?</v>
      </c>
      <c r="L37" s="76"/>
      <c r="M37" s="7" t="e">
        <f t="shared" ca="1" si="31"/>
        <v>#NAME?</v>
      </c>
      <c r="N37" s="35" t="e">
        <f t="shared" ca="1" si="32"/>
        <v>#NAME?</v>
      </c>
      <c r="O37" s="76">
        <f t="shared" ca="1" si="33"/>
        <v>1296</v>
      </c>
      <c r="P37" s="7" t="e">
        <f t="shared" ca="1" si="34"/>
        <v>#NAME?</v>
      </c>
      <c r="Q37" s="35" t="e">
        <f t="array" aca="1" ref="Q37" ca="1">IF(O37&lt;2,"",VAR(IF($H$3:$H$38=$M37,IF($I$3:$I$38=$N37,$J$3:$J$38,""))))</f>
        <v>#NAME?</v>
      </c>
    </row>
    <row r="38" spans="7:17" x14ac:dyDescent="0.25">
      <c r="G38" s="348" t="e">
        <f ca="1"/>
        <v>#NAME?</v>
      </c>
      <c r="H38" s="349" t="e">
        <f ca="1"/>
        <v>#NAME?</v>
      </c>
      <c r="I38" s="349" t="e">
        <f ca="1"/>
        <v>#NAME?</v>
      </c>
      <c r="J38" s="350" t="e">
        <f ca="1"/>
        <v>#NAME?</v>
      </c>
      <c r="L38" s="76"/>
      <c r="M38" s="7" t="e">
        <f t="shared" ca="1" si="31"/>
        <v>#NAME?</v>
      </c>
      <c r="N38" s="35" t="e">
        <f t="shared" ca="1" si="32"/>
        <v>#NAME?</v>
      </c>
      <c r="O38" s="76">
        <f t="shared" ca="1" si="33"/>
        <v>1296</v>
      </c>
      <c r="P38" s="7" t="e">
        <f t="shared" ca="1" si="34"/>
        <v>#NAME?</v>
      </c>
      <c r="Q38" s="35" t="e">
        <f t="array" aca="1" ref="Q38" ca="1">IF(O38&lt;2,"",VAR(IF($H$3:$H$38=$M38,IF($I$3:$I$38=$N38,$J$3:$J$38,""))))</f>
        <v>#NAME?</v>
      </c>
    </row>
    <row r="39" spans="7:17" x14ac:dyDescent="0.25">
      <c r="L39" s="76"/>
      <c r="M39" s="7" t="e">
        <f ca="1">$M$8</f>
        <v>#NAME?</v>
      </c>
      <c r="N39" s="35" t="e">
        <f ca="1">$N10</f>
        <v>#NAME?</v>
      </c>
      <c r="O39" s="76">
        <f t="shared" ca="1" si="33"/>
        <v>1296</v>
      </c>
      <c r="P39" s="7" t="e">
        <f t="shared" ca="1" si="34"/>
        <v>#NAME?</v>
      </c>
      <c r="Q39" s="35" t="e">
        <f t="array" aca="1" ref="Q39" ca="1">IF(O39&lt;2,"",VAR(IF($H$3:$H$38=$M39,IF($I$3:$I$38=$N39,$J$3:$J$38,""))))</f>
        <v>#NAME?</v>
      </c>
    </row>
    <row r="40" spans="7:17" x14ac:dyDescent="0.25">
      <c r="L40" s="76"/>
      <c r="M40" s="7" t="e">
        <f t="shared" ref="M40:M42" ca="1" si="35">$M$8</f>
        <v>#NAME?</v>
      </c>
      <c r="N40" s="35" t="e">
        <f t="shared" ref="N40:N42" ca="1" si="36">$N11</f>
        <v>#NAME?</v>
      </c>
      <c r="O40" s="76">
        <f t="shared" ca="1" si="33"/>
        <v>1296</v>
      </c>
      <c r="P40" s="7" t="e">
        <f t="shared" ca="1" si="34"/>
        <v>#NAME?</v>
      </c>
      <c r="Q40" s="35" t="e">
        <f t="array" aca="1" ref="Q40" ca="1">IF(O40&lt;2,"",VAR(IF($H$3:$H$38=$M40,IF($I$3:$I$38=$N40,$J$3:$J$38,""))))</f>
        <v>#NAME?</v>
      </c>
    </row>
    <row r="41" spans="7:17" x14ac:dyDescent="0.25">
      <c r="L41" s="76"/>
      <c r="M41" s="7" t="e">
        <f t="shared" ca="1" si="35"/>
        <v>#NAME?</v>
      </c>
      <c r="N41" s="35" t="e">
        <f t="shared" ca="1" si="36"/>
        <v>#NAME?</v>
      </c>
      <c r="O41" s="76">
        <f t="shared" ca="1" si="33"/>
        <v>1296</v>
      </c>
      <c r="P41" s="7" t="e">
        <f t="shared" ca="1" si="34"/>
        <v>#NAME?</v>
      </c>
      <c r="Q41" s="35" t="e">
        <f t="array" aca="1" ref="Q41" ca="1">IF(O41&lt;2,"",VAR(IF($H$3:$H$38=$M41,IF($I$3:$I$38=$N41,$J$3:$J$38,""))))</f>
        <v>#NAME?</v>
      </c>
    </row>
    <row r="42" spans="7:17" x14ac:dyDescent="0.25">
      <c r="L42" s="76"/>
      <c r="M42" s="7" t="e">
        <f t="shared" ca="1" si="35"/>
        <v>#NAME?</v>
      </c>
      <c r="N42" s="35" t="e">
        <f t="shared" ca="1" si="36"/>
        <v>#NAME?</v>
      </c>
      <c r="O42" s="76">
        <f t="shared" ca="1" si="33"/>
        <v>1296</v>
      </c>
      <c r="P42" s="7" t="e">
        <f t="shared" ca="1" si="34"/>
        <v>#NAME?</v>
      </c>
      <c r="Q42" s="35" t="e">
        <f t="array" aca="1" ref="Q42" ca="1">IF(O42&lt;2,"",VAR(IF($H$3:$H$38=$M42,IF($I$3:$I$38=$N42,$J$3:$J$38,""))))</f>
        <v>#NAME?</v>
      </c>
    </row>
    <row r="43" spans="7:17" x14ac:dyDescent="0.25">
      <c r="L43" s="76"/>
      <c r="M43" s="7" t="e">
        <f ca="1">$M$9</f>
        <v>#NAME?</v>
      </c>
      <c r="N43" s="35" t="e">
        <f ca="1">$N10</f>
        <v>#NAME?</v>
      </c>
      <c r="O43" s="76">
        <f t="shared" ca="1" si="33"/>
        <v>1296</v>
      </c>
      <c r="P43" s="7" t="e">
        <f t="shared" ca="1" si="34"/>
        <v>#NAME?</v>
      </c>
      <c r="Q43" s="35" t="e">
        <f t="array" aca="1" ref="Q43" ca="1">IF(O43&lt;2,"",VAR(IF($H$3:$H$38=$M43,IF($I$3:$I$38=$N43,$J$3:$J$38,""))))</f>
        <v>#NAME?</v>
      </c>
    </row>
    <row r="44" spans="7:17" x14ac:dyDescent="0.25">
      <c r="L44" s="76"/>
      <c r="M44" s="7" t="e">
        <f t="shared" ref="M44:M46" ca="1" si="37">$M$9</f>
        <v>#NAME?</v>
      </c>
      <c r="N44" s="35" t="e">
        <f t="shared" ref="N44:N46" ca="1" si="38">$N11</f>
        <v>#NAME?</v>
      </c>
      <c r="O44" s="76">
        <f t="shared" ca="1" si="33"/>
        <v>1296</v>
      </c>
      <c r="P44" s="7" t="e">
        <f t="shared" ca="1" si="34"/>
        <v>#NAME?</v>
      </c>
      <c r="Q44" s="35" t="e">
        <f t="array" aca="1" ref="Q44" ca="1">IF(O44&lt;2,"",VAR(IF($H$3:$H$38=$M44,IF($I$3:$I$38=$N44,$J$3:$J$38,""))))</f>
        <v>#NAME?</v>
      </c>
    </row>
    <row r="45" spans="7:17" x14ac:dyDescent="0.25">
      <c r="L45" s="76"/>
      <c r="M45" s="7" t="e">
        <f t="shared" ca="1" si="37"/>
        <v>#NAME?</v>
      </c>
      <c r="N45" s="35" t="e">
        <f t="shared" ca="1" si="38"/>
        <v>#NAME?</v>
      </c>
      <c r="O45" s="76">
        <f t="shared" ca="1" si="33"/>
        <v>1296</v>
      </c>
      <c r="P45" s="7" t="e">
        <f t="shared" ca="1" si="34"/>
        <v>#NAME?</v>
      </c>
      <c r="Q45" s="35" t="e">
        <f t="array" aca="1" ref="Q45" ca="1">IF(O45&lt;2,"",VAR(IF($H$3:$H$38=$M45,IF($I$3:$I$38=$N45,$J$3:$J$38,""))))</f>
        <v>#NAME?</v>
      </c>
    </row>
    <row r="46" spans="7:17" x14ac:dyDescent="0.25">
      <c r="L46" s="348"/>
      <c r="M46" s="349" t="e">
        <f t="shared" ca="1" si="37"/>
        <v>#NAME?</v>
      </c>
      <c r="N46" s="350" t="e">
        <f t="shared" ca="1" si="38"/>
        <v>#NAME?</v>
      </c>
      <c r="O46" s="348">
        <f t="shared" ca="1" si="33"/>
        <v>1296</v>
      </c>
      <c r="P46" s="349" t="e">
        <f t="shared" ca="1" si="34"/>
        <v>#NAME?</v>
      </c>
      <c r="Q46" s="350" t="e">
        <f t="array" aca="1" ref="Q46" ca="1">IF(O46&lt;2,"",VAR(IF($H$3:$H$38=$M46,IF($I$3:$I$38=$N46,$J$3:$J$38,""))))</f>
        <v>#NAME?</v>
      </c>
    </row>
    <row r="47" spans="7:17" x14ac:dyDescent="0.25">
      <c r="L47" s="410" t="e">
        <f ca="1">$L$4</f>
        <v>#NAME?</v>
      </c>
      <c r="M47" s="411" t="e">
        <f ca="1">M35</f>
        <v>#NAME?</v>
      </c>
      <c r="N47" s="412" t="e">
        <f ca="1">N35</f>
        <v>#NAME?</v>
      </c>
      <c r="O47" s="410">
        <f ca="1">COUNTIFS($G$3:$G$38,$L47,$H$3:$H$38,$M47,$I$3:$I$38,$N47)</f>
        <v>36</v>
      </c>
      <c r="P47" s="411" t="e">
        <f ca="1">IF(O47=0,"",AVERAGEIFS($J$3:$J$38,$G$3:$G$38,$L47,$H$3:$H$38,$M47,$I$3:$I$38,$N47))</f>
        <v>#NAME?</v>
      </c>
      <c r="Q47" s="412" t="e">
        <f t="array" aca="1" ref="Q47" ca="1">IF(O47&lt;2,"",VAR(IF($G$3:$G$38=$L47,IF($H$3:$H$38=$M47,IF($I$3:$I$38=$N47,$J$3:$J$38,"")))))</f>
        <v>#NAME?</v>
      </c>
    </row>
    <row r="48" spans="7:17" x14ac:dyDescent="0.25">
      <c r="L48" s="76" t="e">
        <f t="shared" ref="L48:L58" ca="1" si="39">$L$4</f>
        <v>#NAME?</v>
      </c>
      <c r="M48" s="7" t="e">
        <f t="shared" ref="M48:N63" ca="1" si="40">M36</f>
        <v>#NAME?</v>
      </c>
      <c r="N48" s="35" t="e">
        <f t="shared" ca="1" si="40"/>
        <v>#NAME?</v>
      </c>
      <c r="O48" s="76">
        <f t="shared" ref="O48:O82" ca="1" si="41">COUNTIFS($G$3:$G$38,$L48,$H$3:$H$38,$M48,$I$3:$I$38,$N48)</f>
        <v>36</v>
      </c>
      <c r="P48" s="7" t="e">
        <f t="shared" ref="P48:P82" ca="1" si="42">IF(O48=0,"",AVERAGEIFS($J$3:$J$38,$G$3:$G$38,$L48,$H$3:$H$38,$M48,$I$3:$I$38,$N48))</f>
        <v>#NAME?</v>
      </c>
      <c r="Q48" s="35" t="e">
        <f t="array" aca="1" ref="Q48" ca="1">IF(O48&lt;2,"",VAR(IF($G$3:$G$38=$L48,IF($H$3:$H$38=$M48,IF($I$3:$I$38=$N48,$J$3:$J$38,"")))))</f>
        <v>#NAME?</v>
      </c>
    </row>
    <row r="49" spans="12:17" x14ac:dyDescent="0.25">
      <c r="L49" s="76" t="e">
        <f t="shared" ca="1" si="39"/>
        <v>#NAME?</v>
      </c>
      <c r="M49" s="7" t="e">
        <f t="shared" ca="1" si="40"/>
        <v>#NAME?</v>
      </c>
      <c r="N49" s="35" t="e">
        <f t="shared" ca="1" si="40"/>
        <v>#NAME?</v>
      </c>
      <c r="O49" s="76">
        <f t="shared" ca="1" si="41"/>
        <v>36</v>
      </c>
      <c r="P49" s="7" t="e">
        <f t="shared" ca="1" si="42"/>
        <v>#NAME?</v>
      </c>
      <c r="Q49" s="35" t="e">
        <f t="array" aca="1" ref="Q49" ca="1">IF(O49&lt;2,"",VAR(IF($G$3:$G$38=$L49,IF($H$3:$H$38=$M49,IF($I$3:$I$38=$N49,$J$3:$J$38,"")))))</f>
        <v>#NAME?</v>
      </c>
    </row>
    <row r="50" spans="12:17" x14ac:dyDescent="0.25">
      <c r="L50" s="76" t="e">
        <f t="shared" ca="1" si="39"/>
        <v>#NAME?</v>
      </c>
      <c r="M50" s="7" t="e">
        <f t="shared" ca="1" si="40"/>
        <v>#NAME?</v>
      </c>
      <c r="N50" s="35" t="e">
        <f t="shared" ca="1" si="40"/>
        <v>#NAME?</v>
      </c>
      <c r="O50" s="76">
        <f t="shared" ca="1" si="41"/>
        <v>36</v>
      </c>
      <c r="P50" s="7" t="e">
        <f t="shared" ca="1" si="42"/>
        <v>#NAME?</v>
      </c>
      <c r="Q50" s="35" t="e">
        <f t="array" aca="1" ref="Q50" ca="1">IF(O50&lt;2,"",VAR(IF($G$3:$G$38=$L50,IF($H$3:$H$38=$M50,IF($I$3:$I$38=$N50,$J$3:$J$38,"")))))</f>
        <v>#NAME?</v>
      </c>
    </row>
    <row r="51" spans="12:17" x14ac:dyDescent="0.25">
      <c r="L51" s="76" t="e">
        <f t="shared" ca="1" si="39"/>
        <v>#NAME?</v>
      </c>
      <c r="M51" s="7" t="e">
        <f t="shared" ca="1" si="40"/>
        <v>#NAME?</v>
      </c>
      <c r="N51" s="35" t="e">
        <f t="shared" ca="1" si="40"/>
        <v>#NAME?</v>
      </c>
      <c r="O51" s="76">
        <f t="shared" ca="1" si="41"/>
        <v>36</v>
      </c>
      <c r="P51" s="7" t="e">
        <f t="shared" ca="1" si="42"/>
        <v>#NAME?</v>
      </c>
      <c r="Q51" s="35" t="e">
        <f t="array" aca="1" ref="Q51" ca="1">IF(O51&lt;2,"",VAR(IF($G$3:$G$38=$L51,IF($H$3:$H$38=$M51,IF($I$3:$I$38=$N51,$J$3:$J$38,"")))))</f>
        <v>#NAME?</v>
      </c>
    </row>
    <row r="52" spans="12:17" x14ac:dyDescent="0.25">
      <c r="L52" s="76" t="e">
        <f t="shared" ca="1" si="39"/>
        <v>#NAME?</v>
      </c>
      <c r="M52" s="7" t="e">
        <f t="shared" ca="1" si="40"/>
        <v>#NAME?</v>
      </c>
      <c r="N52" s="35" t="e">
        <f t="shared" ca="1" si="40"/>
        <v>#NAME?</v>
      </c>
      <c r="O52" s="76">
        <f t="shared" ca="1" si="41"/>
        <v>36</v>
      </c>
      <c r="P52" s="7" t="e">
        <f t="shared" ca="1" si="42"/>
        <v>#NAME?</v>
      </c>
      <c r="Q52" s="35" t="e">
        <f t="array" aca="1" ref="Q52" ca="1">IF(O52&lt;2,"",VAR(IF($G$3:$G$38=$L52,IF($H$3:$H$38=$M52,IF($I$3:$I$38=$N52,$J$3:$J$38,"")))))</f>
        <v>#NAME?</v>
      </c>
    </row>
    <row r="53" spans="12:17" x14ac:dyDescent="0.25">
      <c r="L53" s="76" t="e">
        <f t="shared" ca="1" si="39"/>
        <v>#NAME?</v>
      </c>
      <c r="M53" s="7" t="e">
        <f t="shared" ca="1" si="40"/>
        <v>#NAME?</v>
      </c>
      <c r="N53" s="35" t="e">
        <f t="shared" ca="1" si="40"/>
        <v>#NAME?</v>
      </c>
      <c r="O53" s="76">
        <f t="shared" ca="1" si="41"/>
        <v>36</v>
      </c>
      <c r="P53" s="7" t="e">
        <f t="shared" ca="1" si="42"/>
        <v>#NAME?</v>
      </c>
      <c r="Q53" s="35" t="e">
        <f t="array" aca="1" ref="Q53" ca="1">IF(O53&lt;2,"",VAR(IF($G$3:$G$38=$L53,IF($H$3:$H$38=$M53,IF($I$3:$I$38=$N53,$J$3:$J$38,"")))))</f>
        <v>#NAME?</v>
      </c>
    </row>
    <row r="54" spans="12:17" x14ac:dyDescent="0.25">
      <c r="L54" s="76" t="e">
        <f t="shared" ca="1" si="39"/>
        <v>#NAME?</v>
      </c>
      <c r="M54" s="7" t="e">
        <f t="shared" ca="1" si="40"/>
        <v>#NAME?</v>
      </c>
      <c r="N54" s="35" t="e">
        <f t="shared" ca="1" si="40"/>
        <v>#NAME?</v>
      </c>
      <c r="O54" s="76">
        <f t="shared" ca="1" si="41"/>
        <v>36</v>
      </c>
      <c r="P54" s="7" t="e">
        <f t="shared" ca="1" si="42"/>
        <v>#NAME?</v>
      </c>
      <c r="Q54" s="35" t="e">
        <f t="array" aca="1" ref="Q54" ca="1">IF(O54&lt;2,"",VAR(IF($G$3:$G$38=$L54,IF($H$3:$H$38=$M54,IF($I$3:$I$38=$N54,$J$3:$J$38,"")))))</f>
        <v>#NAME?</v>
      </c>
    </row>
    <row r="55" spans="12:17" x14ac:dyDescent="0.25">
      <c r="L55" s="76" t="e">
        <f t="shared" ca="1" si="39"/>
        <v>#NAME?</v>
      </c>
      <c r="M55" s="7" t="e">
        <f t="shared" ca="1" si="40"/>
        <v>#NAME?</v>
      </c>
      <c r="N55" s="35" t="e">
        <f t="shared" ca="1" si="40"/>
        <v>#NAME?</v>
      </c>
      <c r="O55" s="76">
        <f t="shared" ca="1" si="41"/>
        <v>36</v>
      </c>
      <c r="P55" s="7" t="e">
        <f t="shared" ca="1" si="42"/>
        <v>#NAME?</v>
      </c>
      <c r="Q55" s="35" t="e">
        <f t="array" aca="1" ref="Q55" ca="1">IF(O55&lt;2,"",VAR(IF($G$3:$G$38=$L55,IF($H$3:$H$38=$M55,IF($I$3:$I$38=$N55,$J$3:$J$38,"")))))</f>
        <v>#NAME?</v>
      </c>
    </row>
    <row r="56" spans="12:17" x14ac:dyDescent="0.25">
      <c r="L56" s="76" t="e">
        <f t="shared" ca="1" si="39"/>
        <v>#NAME?</v>
      </c>
      <c r="M56" s="7" t="e">
        <f t="shared" ca="1" si="40"/>
        <v>#NAME?</v>
      </c>
      <c r="N56" s="35" t="e">
        <f t="shared" ca="1" si="40"/>
        <v>#NAME?</v>
      </c>
      <c r="O56" s="76">
        <f t="shared" ca="1" si="41"/>
        <v>36</v>
      </c>
      <c r="P56" s="7" t="e">
        <f t="shared" ca="1" si="42"/>
        <v>#NAME?</v>
      </c>
      <c r="Q56" s="35" t="e">
        <f t="array" aca="1" ref="Q56" ca="1">IF(O56&lt;2,"",VAR(IF($G$3:$G$38=$L56,IF($H$3:$H$38=$M56,IF($I$3:$I$38=$N56,$J$3:$J$38,"")))))</f>
        <v>#NAME?</v>
      </c>
    </row>
    <row r="57" spans="12:17" x14ac:dyDescent="0.25">
      <c r="L57" s="76" t="e">
        <f t="shared" ca="1" si="39"/>
        <v>#NAME?</v>
      </c>
      <c r="M57" s="7" t="e">
        <f t="shared" ca="1" si="40"/>
        <v>#NAME?</v>
      </c>
      <c r="N57" s="35" t="e">
        <f t="shared" ca="1" si="40"/>
        <v>#NAME?</v>
      </c>
      <c r="O57" s="76">
        <f t="shared" ca="1" si="41"/>
        <v>36</v>
      </c>
      <c r="P57" s="7" t="e">
        <f t="shared" ca="1" si="42"/>
        <v>#NAME?</v>
      </c>
      <c r="Q57" s="35" t="e">
        <f t="array" aca="1" ref="Q57" ca="1">IF(O57&lt;2,"",VAR(IF($G$3:$G$38=$L57,IF($H$3:$H$38=$M57,IF($I$3:$I$38=$N57,$J$3:$J$38,"")))))</f>
        <v>#NAME?</v>
      </c>
    </row>
    <row r="58" spans="12:17" x14ac:dyDescent="0.25">
      <c r="L58" s="76" t="e">
        <f t="shared" ca="1" si="39"/>
        <v>#NAME?</v>
      </c>
      <c r="M58" s="7" t="e">
        <f t="shared" ca="1" si="40"/>
        <v>#NAME?</v>
      </c>
      <c r="N58" s="35" t="e">
        <f t="shared" ca="1" si="40"/>
        <v>#NAME?</v>
      </c>
      <c r="O58" s="76">
        <f t="shared" ca="1" si="41"/>
        <v>36</v>
      </c>
      <c r="P58" s="7" t="e">
        <f t="shared" ca="1" si="42"/>
        <v>#NAME?</v>
      </c>
      <c r="Q58" s="35" t="e">
        <f t="array" aca="1" ref="Q58" ca="1">IF(O58&lt;2,"",VAR(IF($G$3:$G$38=$L58,IF($H$3:$H$38=$M58,IF($I$3:$I$38=$N58,$J$3:$J$38,"")))))</f>
        <v>#NAME?</v>
      </c>
    </row>
    <row r="59" spans="12:17" x14ac:dyDescent="0.25">
      <c r="L59" s="76" t="e">
        <f ca="1">$L$5</f>
        <v>#NAME?</v>
      </c>
      <c r="M59" s="7" t="e">
        <f t="shared" ca="1" si="40"/>
        <v>#NAME?</v>
      </c>
      <c r="N59" s="35" t="e">
        <f t="shared" ca="1" si="40"/>
        <v>#NAME?</v>
      </c>
      <c r="O59" s="76">
        <f t="shared" ca="1" si="41"/>
        <v>36</v>
      </c>
      <c r="P59" s="7" t="e">
        <f t="shared" ca="1" si="42"/>
        <v>#NAME?</v>
      </c>
      <c r="Q59" s="35" t="e">
        <f t="array" aca="1" ref="Q59" ca="1">IF(O59&lt;2,"",VAR(IF($G$3:$G$38=$L59,IF($H$3:$H$38=$M59,IF($I$3:$I$38=$N59,$J$3:$J$38,"")))))</f>
        <v>#NAME?</v>
      </c>
    </row>
    <row r="60" spans="12:17" x14ac:dyDescent="0.25">
      <c r="L60" s="76" t="e">
        <f t="shared" ref="L60:L70" ca="1" si="43">$L$5</f>
        <v>#NAME?</v>
      </c>
      <c r="M60" s="7" t="e">
        <f t="shared" ca="1" si="40"/>
        <v>#NAME?</v>
      </c>
      <c r="N60" s="35" t="e">
        <f t="shared" ca="1" si="40"/>
        <v>#NAME?</v>
      </c>
      <c r="O60" s="76">
        <f t="shared" ca="1" si="41"/>
        <v>36</v>
      </c>
      <c r="P60" s="7" t="e">
        <f t="shared" ca="1" si="42"/>
        <v>#NAME?</v>
      </c>
      <c r="Q60" s="35" t="e">
        <f t="array" aca="1" ref="Q60" ca="1">IF(O60&lt;2,"",VAR(IF($G$3:$G$38=$L60,IF($H$3:$H$38=$M60,IF($I$3:$I$38=$N60,$J$3:$J$38,"")))))</f>
        <v>#NAME?</v>
      </c>
    </row>
    <row r="61" spans="12:17" x14ac:dyDescent="0.25">
      <c r="L61" s="76" t="e">
        <f t="shared" ca="1" si="43"/>
        <v>#NAME?</v>
      </c>
      <c r="M61" s="7" t="e">
        <f t="shared" ca="1" si="40"/>
        <v>#NAME?</v>
      </c>
      <c r="N61" s="35" t="e">
        <f t="shared" ca="1" si="40"/>
        <v>#NAME?</v>
      </c>
      <c r="O61" s="76">
        <f t="shared" ca="1" si="41"/>
        <v>36</v>
      </c>
      <c r="P61" s="7" t="e">
        <f t="shared" ca="1" si="42"/>
        <v>#NAME?</v>
      </c>
      <c r="Q61" s="35" t="e">
        <f t="array" aca="1" ref="Q61" ca="1">IF(O61&lt;2,"",VAR(IF($G$3:$G$38=$L61,IF($H$3:$H$38=$M61,IF($I$3:$I$38=$N61,$J$3:$J$38,"")))))</f>
        <v>#NAME?</v>
      </c>
    </row>
    <row r="62" spans="12:17" x14ac:dyDescent="0.25">
      <c r="L62" s="76" t="e">
        <f t="shared" ca="1" si="43"/>
        <v>#NAME?</v>
      </c>
      <c r="M62" s="7" t="e">
        <f t="shared" ca="1" si="40"/>
        <v>#NAME?</v>
      </c>
      <c r="N62" s="35" t="e">
        <f t="shared" ca="1" si="40"/>
        <v>#NAME?</v>
      </c>
      <c r="O62" s="76">
        <f t="shared" ca="1" si="41"/>
        <v>36</v>
      </c>
      <c r="P62" s="7" t="e">
        <f t="shared" ca="1" si="42"/>
        <v>#NAME?</v>
      </c>
      <c r="Q62" s="35" t="e">
        <f t="array" aca="1" ref="Q62" ca="1">IF(O62&lt;2,"",VAR(IF($G$3:$G$38=$L62,IF($H$3:$H$38=$M62,IF($I$3:$I$38=$N62,$J$3:$J$38,"")))))</f>
        <v>#NAME?</v>
      </c>
    </row>
    <row r="63" spans="12:17" x14ac:dyDescent="0.25">
      <c r="L63" s="76" t="e">
        <f t="shared" ca="1" si="43"/>
        <v>#NAME?</v>
      </c>
      <c r="M63" s="7" t="e">
        <f t="shared" ca="1" si="40"/>
        <v>#NAME?</v>
      </c>
      <c r="N63" s="35" t="e">
        <f t="shared" ca="1" si="40"/>
        <v>#NAME?</v>
      </c>
      <c r="O63" s="76">
        <f t="shared" ca="1" si="41"/>
        <v>36</v>
      </c>
      <c r="P63" s="7" t="e">
        <f t="shared" ca="1" si="42"/>
        <v>#NAME?</v>
      </c>
      <c r="Q63" s="35" t="e">
        <f t="array" aca="1" ref="Q63" ca="1">IF(O63&lt;2,"",VAR(IF($G$3:$G$38=$L63,IF($H$3:$H$38=$M63,IF($I$3:$I$38=$N63,$J$3:$J$38,"")))))</f>
        <v>#NAME?</v>
      </c>
    </row>
    <row r="64" spans="12:17" x14ac:dyDescent="0.25">
      <c r="L64" s="76" t="e">
        <f t="shared" ca="1" si="43"/>
        <v>#NAME?</v>
      </c>
      <c r="M64" s="7" t="e">
        <f t="shared" ref="M64:N79" ca="1" si="44">M52</f>
        <v>#NAME?</v>
      </c>
      <c r="N64" s="35" t="e">
        <f t="shared" ca="1" si="44"/>
        <v>#NAME?</v>
      </c>
      <c r="O64" s="76">
        <f t="shared" ca="1" si="41"/>
        <v>36</v>
      </c>
      <c r="P64" s="7" t="e">
        <f t="shared" ca="1" si="42"/>
        <v>#NAME?</v>
      </c>
      <c r="Q64" s="35" t="e">
        <f t="array" aca="1" ref="Q64" ca="1">IF(O64&lt;2,"",VAR(IF($G$3:$G$38=$L64,IF($H$3:$H$38=$M64,IF($I$3:$I$38=$N64,$J$3:$J$38,"")))))</f>
        <v>#NAME?</v>
      </c>
    </row>
    <row r="65" spans="12:17" x14ac:dyDescent="0.25">
      <c r="L65" s="76" t="e">
        <f t="shared" ca="1" si="43"/>
        <v>#NAME?</v>
      </c>
      <c r="M65" s="7" t="e">
        <f t="shared" ca="1" si="44"/>
        <v>#NAME?</v>
      </c>
      <c r="N65" s="35" t="e">
        <f t="shared" ca="1" si="44"/>
        <v>#NAME?</v>
      </c>
      <c r="O65" s="76">
        <f t="shared" ca="1" si="41"/>
        <v>36</v>
      </c>
      <c r="P65" s="7" t="e">
        <f t="shared" ca="1" si="42"/>
        <v>#NAME?</v>
      </c>
      <c r="Q65" s="35" t="e">
        <f t="array" aca="1" ref="Q65" ca="1">IF(O65&lt;2,"",VAR(IF($G$3:$G$38=$L65,IF($H$3:$H$38=$M65,IF($I$3:$I$38=$N65,$J$3:$J$38,"")))))</f>
        <v>#NAME?</v>
      </c>
    </row>
    <row r="66" spans="12:17" x14ac:dyDescent="0.25">
      <c r="L66" s="76" t="e">
        <f t="shared" ca="1" si="43"/>
        <v>#NAME?</v>
      </c>
      <c r="M66" s="7" t="e">
        <f t="shared" ca="1" si="44"/>
        <v>#NAME?</v>
      </c>
      <c r="N66" s="35" t="e">
        <f t="shared" ca="1" si="44"/>
        <v>#NAME?</v>
      </c>
      <c r="O66" s="76">
        <f t="shared" ca="1" si="41"/>
        <v>36</v>
      </c>
      <c r="P66" s="7" t="e">
        <f t="shared" ca="1" si="42"/>
        <v>#NAME?</v>
      </c>
      <c r="Q66" s="35" t="e">
        <f t="array" aca="1" ref="Q66" ca="1">IF(O66&lt;2,"",VAR(IF($G$3:$G$38=$L66,IF($H$3:$H$38=$M66,IF($I$3:$I$38=$N66,$J$3:$J$38,"")))))</f>
        <v>#NAME?</v>
      </c>
    </row>
    <row r="67" spans="12:17" x14ac:dyDescent="0.25">
      <c r="L67" s="76" t="e">
        <f t="shared" ca="1" si="43"/>
        <v>#NAME?</v>
      </c>
      <c r="M67" s="7" t="e">
        <f t="shared" ca="1" si="44"/>
        <v>#NAME?</v>
      </c>
      <c r="N67" s="35" t="e">
        <f t="shared" ca="1" si="44"/>
        <v>#NAME?</v>
      </c>
      <c r="O67" s="76">
        <f t="shared" ca="1" si="41"/>
        <v>36</v>
      </c>
      <c r="P67" s="7" t="e">
        <f t="shared" ca="1" si="42"/>
        <v>#NAME?</v>
      </c>
      <c r="Q67" s="35" t="e">
        <f t="array" aca="1" ref="Q67" ca="1">IF(O67&lt;2,"",VAR(IF($G$3:$G$38=$L67,IF($H$3:$H$38=$M67,IF($I$3:$I$38=$N67,$J$3:$J$38,"")))))</f>
        <v>#NAME?</v>
      </c>
    </row>
    <row r="68" spans="12:17" x14ac:dyDescent="0.25">
      <c r="L68" s="76" t="e">
        <f t="shared" ca="1" si="43"/>
        <v>#NAME?</v>
      </c>
      <c r="M68" s="7" t="e">
        <f t="shared" ca="1" si="44"/>
        <v>#NAME?</v>
      </c>
      <c r="N68" s="35" t="e">
        <f t="shared" ca="1" si="44"/>
        <v>#NAME?</v>
      </c>
      <c r="O68" s="76">
        <f t="shared" ca="1" si="41"/>
        <v>36</v>
      </c>
      <c r="P68" s="7" t="e">
        <f t="shared" ca="1" si="42"/>
        <v>#NAME?</v>
      </c>
      <c r="Q68" s="35" t="e">
        <f t="array" aca="1" ref="Q68" ca="1">IF(O68&lt;2,"",VAR(IF($G$3:$G$38=$L68,IF($H$3:$H$38=$M68,IF($I$3:$I$38=$N68,$J$3:$J$38,"")))))</f>
        <v>#NAME?</v>
      </c>
    </row>
    <row r="69" spans="12:17" x14ac:dyDescent="0.25">
      <c r="L69" s="76" t="e">
        <f t="shared" ca="1" si="43"/>
        <v>#NAME?</v>
      </c>
      <c r="M69" s="7" t="e">
        <f t="shared" ca="1" si="44"/>
        <v>#NAME?</v>
      </c>
      <c r="N69" s="35" t="e">
        <f t="shared" ca="1" si="44"/>
        <v>#NAME?</v>
      </c>
      <c r="O69" s="76">
        <f t="shared" ca="1" si="41"/>
        <v>36</v>
      </c>
      <c r="P69" s="7" t="e">
        <f t="shared" ca="1" si="42"/>
        <v>#NAME?</v>
      </c>
      <c r="Q69" s="35" t="e">
        <f t="array" aca="1" ref="Q69" ca="1">IF(O69&lt;2,"",VAR(IF($G$3:$G$38=$L69,IF($H$3:$H$38=$M69,IF($I$3:$I$38=$N69,$J$3:$J$38,"")))))</f>
        <v>#NAME?</v>
      </c>
    </row>
    <row r="70" spans="12:17" x14ac:dyDescent="0.25">
      <c r="L70" s="76" t="e">
        <f t="shared" ca="1" si="43"/>
        <v>#NAME?</v>
      </c>
      <c r="M70" s="7" t="e">
        <f t="shared" ca="1" si="44"/>
        <v>#NAME?</v>
      </c>
      <c r="N70" s="35" t="e">
        <f t="shared" ca="1" si="44"/>
        <v>#NAME?</v>
      </c>
      <c r="O70" s="76">
        <f t="shared" ca="1" si="41"/>
        <v>36</v>
      </c>
      <c r="P70" s="7" t="e">
        <f t="shared" ca="1" si="42"/>
        <v>#NAME?</v>
      </c>
      <c r="Q70" s="35" t="e">
        <f t="array" aca="1" ref="Q70" ca="1">IF(O70&lt;2,"",VAR(IF($G$3:$G$38=$L70,IF($H$3:$H$38=$M70,IF($I$3:$I$38=$N70,$J$3:$J$38,"")))))</f>
        <v>#NAME?</v>
      </c>
    </row>
    <row r="71" spans="12:17" x14ac:dyDescent="0.25">
      <c r="L71" s="76" t="e">
        <f ca="1">$L$6</f>
        <v>#NAME?</v>
      </c>
      <c r="M71" s="7" t="e">
        <f t="shared" ca="1" si="44"/>
        <v>#NAME?</v>
      </c>
      <c r="N71" s="35" t="e">
        <f t="shared" ca="1" si="44"/>
        <v>#NAME?</v>
      </c>
      <c r="O71" s="76">
        <f t="shared" ca="1" si="41"/>
        <v>36</v>
      </c>
      <c r="P71" s="7" t="e">
        <f t="shared" ca="1" si="42"/>
        <v>#NAME?</v>
      </c>
      <c r="Q71" s="35" t="e">
        <f t="array" aca="1" ref="Q71" ca="1">IF(O71&lt;2,"",VAR(IF($G$3:$G$38=$L71,IF($H$3:$H$38=$M71,IF($I$3:$I$38=$N71,$J$3:$J$38,"")))))</f>
        <v>#NAME?</v>
      </c>
    </row>
    <row r="72" spans="12:17" x14ac:dyDescent="0.25">
      <c r="L72" s="76" t="e">
        <f t="shared" ref="L72:L82" ca="1" si="45">$L$6</f>
        <v>#NAME?</v>
      </c>
      <c r="M72" s="7" t="e">
        <f t="shared" ca="1" si="44"/>
        <v>#NAME?</v>
      </c>
      <c r="N72" s="35" t="e">
        <f t="shared" ca="1" si="44"/>
        <v>#NAME?</v>
      </c>
      <c r="O72" s="76">
        <f t="shared" ca="1" si="41"/>
        <v>36</v>
      </c>
      <c r="P72" s="7" t="e">
        <f t="shared" ca="1" si="42"/>
        <v>#NAME?</v>
      </c>
      <c r="Q72" s="35" t="e">
        <f t="array" aca="1" ref="Q72" ca="1">IF(O72&lt;2,"",VAR(IF($G$3:$G$38=$L72,IF($H$3:$H$38=$M72,IF($I$3:$I$38=$N72,$J$3:$J$38,"")))))</f>
        <v>#NAME?</v>
      </c>
    </row>
    <row r="73" spans="12:17" x14ac:dyDescent="0.25">
      <c r="L73" s="76" t="e">
        <f t="shared" ca="1" si="45"/>
        <v>#NAME?</v>
      </c>
      <c r="M73" s="7" t="e">
        <f t="shared" ca="1" si="44"/>
        <v>#NAME?</v>
      </c>
      <c r="N73" s="35" t="e">
        <f t="shared" ca="1" si="44"/>
        <v>#NAME?</v>
      </c>
      <c r="O73" s="76">
        <f t="shared" ca="1" si="41"/>
        <v>36</v>
      </c>
      <c r="P73" s="7" t="e">
        <f t="shared" ca="1" si="42"/>
        <v>#NAME?</v>
      </c>
      <c r="Q73" s="35" t="e">
        <f t="array" aca="1" ref="Q73" ca="1">IF(O73&lt;2,"",VAR(IF($G$3:$G$38=$L73,IF($H$3:$H$38=$M73,IF($I$3:$I$38=$N73,$J$3:$J$38,"")))))</f>
        <v>#NAME?</v>
      </c>
    </row>
    <row r="74" spans="12:17" x14ac:dyDescent="0.25">
      <c r="L74" s="76" t="e">
        <f t="shared" ca="1" si="45"/>
        <v>#NAME?</v>
      </c>
      <c r="M74" s="7" t="e">
        <f t="shared" ca="1" si="44"/>
        <v>#NAME?</v>
      </c>
      <c r="N74" s="35" t="e">
        <f t="shared" ca="1" si="44"/>
        <v>#NAME?</v>
      </c>
      <c r="O74" s="76">
        <f t="shared" ca="1" si="41"/>
        <v>36</v>
      </c>
      <c r="P74" s="7" t="e">
        <f t="shared" ca="1" si="42"/>
        <v>#NAME?</v>
      </c>
      <c r="Q74" s="35" t="e">
        <f t="array" aca="1" ref="Q74" ca="1">IF(O74&lt;2,"",VAR(IF($G$3:$G$38=$L74,IF($H$3:$H$38=$M74,IF($I$3:$I$38=$N74,$J$3:$J$38,"")))))</f>
        <v>#NAME?</v>
      </c>
    </row>
    <row r="75" spans="12:17" x14ac:dyDescent="0.25">
      <c r="L75" s="76" t="e">
        <f t="shared" ca="1" si="45"/>
        <v>#NAME?</v>
      </c>
      <c r="M75" s="7" t="e">
        <f t="shared" ca="1" si="44"/>
        <v>#NAME?</v>
      </c>
      <c r="N75" s="35" t="e">
        <f t="shared" ca="1" si="44"/>
        <v>#NAME?</v>
      </c>
      <c r="O75" s="76">
        <f t="shared" ca="1" si="41"/>
        <v>36</v>
      </c>
      <c r="P75" s="7" t="e">
        <f t="shared" ca="1" si="42"/>
        <v>#NAME?</v>
      </c>
      <c r="Q75" s="35" t="e">
        <f t="array" aca="1" ref="Q75" ca="1">IF(O75&lt;2,"",VAR(IF($G$3:$G$38=$L75,IF($H$3:$H$38=$M75,IF($I$3:$I$38=$N75,$J$3:$J$38,"")))))</f>
        <v>#NAME?</v>
      </c>
    </row>
    <row r="76" spans="12:17" x14ac:dyDescent="0.25">
      <c r="L76" s="76" t="e">
        <f t="shared" ca="1" si="45"/>
        <v>#NAME?</v>
      </c>
      <c r="M76" s="7" t="e">
        <f t="shared" ca="1" si="44"/>
        <v>#NAME?</v>
      </c>
      <c r="N76" s="35" t="e">
        <f t="shared" ca="1" si="44"/>
        <v>#NAME?</v>
      </c>
      <c r="O76" s="76">
        <f t="shared" ca="1" si="41"/>
        <v>36</v>
      </c>
      <c r="P76" s="7" t="e">
        <f t="shared" ca="1" si="42"/>
        <v>#NAME?</v>
      </c>
      <c r="Q76" s="35" t="e">
        <f t="array" aca="1" ref="Q76" ca="1">IF(O76&lt;2,"",VAR(IF($G$3:$G$38=$L76,IF($H$3:$H$38=$M76,IF($I$3:$I$38=$N76,$J$3:$J$38,"")))))</f>
        <v>#NAME?</v>
      </c>
    </row>
    <row r="77" spans="12:17" x14ac:dyDescent="0.25">
      <c r="L77" s="76" t="e">
        <f t="shared" ca="1" si="45"/>
        <v>#NAME?</v>
      </c>
      <c r="M77" s="7" t="e">
        <f t="shared" ca="1" si="44"/>
        <v>#NAME?</v>
      </c>
      <c r="N77" s="35" t="e">
        <f t="shared" ca="1" si="44"/>
        <v>#NAME?</v>
      </c>
      <c r="O77" s="76">
        <f t="shared" ca="1" si="41"/>
        <v>36</v>
      </c>
      <c r="P77" s="7" t="e">
        <f t="shared" ca="1" si="42"/>
        <v>#NAME?</v>
      </c>
      <c r="Q77" s="35" t="e">
        <f t="array" aca="1" ref="Q77" ca="1">IF(O77&lt;2,"",VAR(IF($G$3:$G$38=$L77,IF($H$3:$H$38=$M77,IF($I$3:$I$38=$N77,$J$3:$J$38,"")))))</f>
        <v>#NAME?</v>
      </c>
    </row>
    <row r="78" spans="12:17" x14ac:dyDescent="0.25">
      <c r="L78" s="76" t="e">
        <f t="shared" ca="1" si="45"/>
        <v>#NAME?</v>
      </c>
      <c r="M78" s="7" t="e">
        <f t="shared" ca="1" si="44"/>
        <v>#NAME?</v>
      </c>
      <c r="N78" s="35" t="e">
        <f t="shared" ca="1" si="44"/>
        <v>#NAME?</v>
      </c>
      <c r="O78" s="76">
        <f t="shared" ca="1" si="41"/>
        <v>36</v>
      </c>
      <c r="P78" s="7" t="e">
        <f t="shared" ca="1" si="42"/>
        <v>#NAME?</v>
      </c>
      <c r="Q78" s="35" t="e">
        <f t="array" aca="1" ref="Q78" ca="1">IF(O78&lt;2,"",VAR(IF($G$3:$G$38=$L78,IF($H$3:$H$38=$M78,IF($I$3:$I$38=$N78,$J$3:$J$38,"")))))</f>
        <v>#NAME?</v>
      </c>
    </row>
    <row r="79" spans="12:17" x14ac:dyDescent="0.25">
      <c r="L79" s="76" t="e">
        <f t="shared" ca="1" si="45"/>
        <v>#NAME?</v>
      </c>
      <c r="M79" s="7" t="e">
        <f t="shared" ca="1" si="44"/>
        <v>#NAME?</v>
      </c>
      <c r="N79" s="35" t="e">
        <f t="shared" ca="1" si="44"/>
        <v>#NAME?</v>
      </c>
      <c r="O79" s="76">
        <f t="shared" ca="1" si="41"/>
        <v>36</v>
      </c>
      <c r="P79" s="7" t="e">
        <f t="shared" ca="1" si="42"/>
        <v>#NAME?</v>
      </c>
      <c r="Q79" s="35" t="e">
        <f t="array" aca="1" ref="Q79" ca="1">IF(O79&lt;2,"",VAR(IF($G$3:$G$38=$L79,IF($H$3:$H$38=$M79,IF($I$3:$I$38=$N79,$J$3:$J$38,"")))))</f>
        <v>#NAME?</v>
      </c>
    </row>
    <row r="80" spans="12:17" x14ac:dyDescent="0.25">
      <c r="L80" s="76" t="e">
        <f t="shared" ca="1" si="45"/>
        <v>#NAME?</v>
      </c>
      <c r="M80" s="7" t="e">
        <f t="shared" ref="M80:N82" ca="1" si="46">M68</f>
        <v>#NAME?</v>
      </c>
      <c r="N80" s="35" t="e">
        <f t="shared" ca="1" si="46"/>
        <v>#NAME?</v>
      </c>
      <c r="O80" s="76">
        <f t="shared" ca="1" si="41"/>
        <v>36</v>
      </c>
      <c r="P80" s="7" t="e">
        <f t="shared" ca="1" si="42"/>
        <v>#NAME?</v>
      </c>
      <c r="Q80" s="35" t="e">
        <f t="array" aca="1" ref="Q80" ca="1">IF(O80&lt;2,"",VAR(IF($G$3:$G$38=$L80,IF($H$3:$H$38=$M80,IF($I$3:$I$38=$N80,$J$3:$J$38,"")))))</f>
        <v>#NAME?</v>
      </c>
    </row>
    <row r="81" spans="12:17" x14ac:dyDescent="0.25">
      <c r="L81" s="76" t="e">
        <f t="shared" ca="1" si="45"/>
        <v>#NAME?</v>
      </c>
      <c r="M81" s="7" t="e">
        <f t="shared" ca="1" si="46"/>
        <v>#NAME?</v>
      </c>
      <c r="N81" s="35" t="e">
        <f t="shared" ca="1" si="46"/>
        <v>#NAME?</v>
      </c>
      <c r="O81" s="76">
        <f t="shared" ca="1" si="41"/>
        <v>36</v>
      </c>
      <c r="P81" s="7" t="e">
        <f t="shared" ca="1" si="42"/>
        <v>#NAME?</v>
      </c>
      <c r="Q81" s="35" t="e">
        <f t="array" aca="1" ref="Q81" ca="1">IF(O81&lt;2,"",VAR(IF($G$3:$G$38=$L81,IF($H$3:$H$38=$M81,IF($I$3:$I$38=$N81,$J$3:$J$38,"")))))</f>
        <v>#NAME?</v>
      </c>
    </row>
    <row r="82" spans="12:17" x14ac:dyDescent="0.25">
      <c r="L82" s="348" t="e">
        <f t="shared" ca="1" si="45"/>
        <v>#NAME?</v>
      </c>
      <c r="M82" s="349" t="e">
        <f t="shared" ca="1" si="46"/>
        <v>#NAME?</v>
      </c>
      <c r="N82" s="350" t="e">
        <f t="shared" ca="1" si="46"/>
        <v>#NAME?</v>
      </c>
      <c r="O82" s="348">
        <f t="shared" ca="1" si="41"/>
        <v>36</v>
      </c>
      <c r="P82" s="349" t="e">
        <f t="shared" ca="1" si="42"/>
        <v>#NAME?</v>
      </c>
      <c r="Q82" s="350" t="e">
        <f t="array" aca="1" ref="Q82" ca="1">IF(O82&lt;2,"",VAR(IF($G$3:$G$38=$L82,IF($H$3:$H$38=$M82,IF($I$3:$I$38=$N82,$J$3:$J$38,"")))))</f>
        <v>#NAME?</v>
      </c>
    </row>
    <row r="83" spans="12:17" x14ac:dyDescent="0.25">
      <c r="O83">
        <f ca="1">SUM(O47:O82)</f>
        <v>1296</v>
      </c>
      <c r="P83" t="e">
        <f ca="1">AVERAGE(J3:J38)</f>
        <v>#NAME?</v>
      </c>
      <c r="Q83" t="e">
        <f ca="1">VAR(J3:J38)</f>
        <v>#NAME?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AL15"/>
  <sheetViews>
    <sheetView workbookViewId="0"/>
  </sheetViews>
  <sheetFormatPr defaultRowHeight="15" x14ac:dyDescent="0.25"/>
  <cols>
    <col min="1" max="1" width="4.5703125" customWidth="1"/>
    <col min="2" max="5" width="6.42578125" customWidth="1"/>
  </cols>
  <sheetData>
    <row r="1" spans="1:38" ht="15.75" thickBot="1" x14ac:dyDescent="0.3">
      <c r="A1" s="1" t="s">
        <v>704</v>
      </c>
      <c r="G1" t="s">
        <v>99</v>
      </c>
      <c r="I1" t="s">
        <v>791</v>
      </c>
      <c r="J1" s="413">
        <f>ROWS(B4:E6)*COLUMNS(B4:E6)-COUNT(B4:E6)</f>
        <v>0</v>
      </c>
      <c r="N1" t="s">
        <v>663</v>
      </c>
      <c r="V1" t="s">
        <v>659</v>
      </c>
      <c r="AE1" t="s">
        <v>660</v>
      </c>
    </row>
    <row r="2" spans="1:38" ht="15.75" thickTop="1" x14ac:dyDescent="0.25">
      <c r="AE2" s="191" t="s">
        <v>825</v>
      </c>
      <c r="AF2" s="191" t="s">
        <v>6</v>
      </c>
      <c r="AG2" s="191" t="s">
        <v>183</v>
      </c>
      <c r="AH2" s="191" t="s">
        <v>37</v>
      </c>
      <c r="AI2" s="191" t="s">
        <v>113</v>
      </c>
      <c r="AJ2" s="191" t="s">
        <v>826</v>
      </c>
    </row>
    <row r="3" spans="1:38" ht="15.75" thickBot="1" x14ac:dyDescent="0.3">
      <c r="B3" s="365" t="s">
        <v>74</v>
      </c>
      <c r="C3" s="365" t="s">
        <v>65</v>
      </c>
      <c r="D3" s="365" t="s">
        <v>66</v>
      </c>
      <c r="E3" s="365" t="s">
        <v>67</v>
      </c>
      <c r="G3" t="str">
        <f>IF(A3="","",A3)</f>
        <v/>
      </c>
      <c r="H3" t="str">
        <f t="shared" ref="H3:K3" si="0">B3</f>
        <v>A</v>
      </c>
      <c r="I3" t="str">
        <f t="shared" si="0"/>
        <v>B</v>
      </c>
      <c r="J3" t="str">
        <f t="shared" si="0"/>
        <v>C</v>
      </c>
      <c r="K3" t="str">
        <f t="shared" si="0"/>
        <v>D</v>
      </c>
      <c r="L3" s="365" t="s">
        <v>8</v>
      </c>
      <c r="N3" t="s">
        <v>84</v>
      </c>
      <c r="R3" t="s">
        <v>17</v>
      </c>
      <c r="S3">
        <v>0.05</v>
      </c>
      <c r="V3" t="str">
        <f>IF(A3="","",A3)</f>
        <v/>
      </c>
      <c r="W3" t="str">
        <f t="shared" ref="W3:Z3" si="1">B3</f>
        <v>A</v>
      </c>
      <c r="X3" t="str">
        <f t="shared" si="1"/>
        <v>B</v>
      </c>
      <c r="Y3" t="str">
        <f t="shared" si="1"/>
        <v>C</v>
      </c>
      <c r="Z3" t="str">
        <f t="shared" si="1"/>
        <v>D</v>
      </c>
      <c r="AE3" s="351" t="str">
        <f t="array" ref="AE3:AE6">TRANSPOSE(B3:E3)</f>
        <v>A</v>
      </c>
      <c r="AF3" s="351">
        <f>AVERAGE(B4:B6)</f>
        <v>189</v>
      </c>
      <c r="AG3" s="351"/>
      <c r="AH3" s="351"/>
      <c r="AI3" s="351"/>
      <c r="AJ3" s="351"/>
    </row>
    <row r="4" spans="1:38" ht="15.75" thickTop="1" x14ac:dyDescent="0.25">
      <c r="A4" s="365">
        <v>1</v>
      </c>
      <c r="B4" s="414">
        <v>217</v>
      </c>
      <c r="C4" s="351">
        <v>158</v>
      </c>
      <c r="D4" s="351">
        <v>229</v>
      </c>
      <c r="E4" s="415">
        <v>223</v>
      </c>
      <c r="G4">
        <f t="shared" ref="G4:G6" si="2">A4</f>
        <v>1</v>
      </c>
      <c r="H4" s="410" t="e">
        <f t="array" aca="1" ref="H4:K6" ca="1">RCBDMissing(B4:E6)</f>
        <v>#NAME?</v>
      </c>
      <c r="I4" s="411" t="e">
        <f ca="1"/>
        <v>#NAME?</v>
      </c>
      <c r="J4" s="411" t="e">
        <f ca="1"/>
        <v>#NAME?</v>
      </c>
      <c r="K4" s="412" t="e">
        <f ca="1"/>
        <v>#NAME?</v>
      </c>
      <c r="L4" t="e">
        <f ca="1">AVERAGE(H4:K4)</f>
        <v>#NAME?</v>
      </c>
      <c r="N4" s="191" t="s">
        <v>100</v>
      </c>
      <c r="O4" s="191" t="s">
        <v>76</v>
      </c>
      <c r="P4" s="191" t="s">
        <v>37</v>
      </c>
      <c r="Q4" s="191" t="s">
        <v>78</v>
      </c>
      <c r="R4" s="191" t="s">
        <v>68</v>
      </c>
      <c r="S4" s="191" t="s">
        <v>101</v>
      </c>
      <c r="T4" s="191" t="s">
        <v>792</v>
      </c>
      <c r="V4" t="s">
        <v>114</v>
      </c>
      <c r="W4" s="416"/>
      <c r="X4" s="417">
        <v>1</v>
      </c>
      <c r="Y4" s="417">
        <v>-1</v>
      </c>
      <c r="Z4" s="418"/>
      <c r="AA4" s="419" t="s">
        <v>182</v>
      </c>
      <c r="AE4" s="7" t="str">
        <v>B</v>
      </c>
      <c r="AF4" s="7">
        <f>AVERAGE(C4:C6)</f>
        <v>135.33333333333334</v>
      </c>
      <c r="AG4" s="7"/>
      <c r="AH4" s="7"/>
      <c r="AI4" s="7"/>
      <c r="AJ4" s="7"/>
    </row>
    <row r="5" spans="1:38" x14ac:dyDescent="0.25">
      <c r="A5" s="365">
        <v>2</v>
      </c>
      <c r="B5" s="107">
        <v>188</v>
      </c>
      <c r="C5" s="7">
        <v>126</v>
      </c>
      <c r="D5" s="7">
        <v>160</v>
      </c>
      <c r="E5" s="108">
        <v>201</v>
      </c>
      <c r="G5">
        <f t="shared" si="2"/>
        <v>2</v>
      </c>
      <c r="H5" s="76" t="e">
        <f ca="1"/>
        <v>#NAME?</v>
      </c>
      <c r="I5" s="7" t="e">
        <f ca="1"/>
        <v>#NAME?</v>
      </c>
      <c r="J5" s="7" t="e">
        <f ca="1"/>
        <v>#NAME?</v>
      </c>
      <c r="K5" s="35" t="e">
        <f ca="1"/>
        <v>#NAME?</v>
      </c>
      <c r="L5" t="e">
        <f t="shared" ref="L5:L6" ca="1" si="3">AVERAGE(H5:K5)</f>
        <v>#NAME?</v>
      </c>
      <c r="N5" t="s">
        <v>658</v>
      </c>
      <c r="O5" t="e">
        <f ca="1">(P6+1)*DEVSQ(L4:L6)-T5</f>
        <v>#NAME?</v>
      </c>
      <c r="P5">
        <f ca="1">COUNT(H4:H6)-1</f>
        <v>-1</v>
      </c>
      <c r="Q5" t="e">
        <f ca="1">O5/P5</f>
        <v>#NAME?</v>
      </c>
      <c r="R5" t="e">
        <f ca="1">Q5/Q7</f>
        <v>#NAME?</v>
      </c>
      <c r="S5" t="e">
        <f ca="1">FDIST(R5,P5,P7)</f>
        <v>#NAME?</v>
      </c>
      <c r="T5" t="e">
        <f ca="1">RCBDAdjSS(B4:E6,TRUE)</f>
        <v>#NAME?</v>
      </c>
      <c r="V5">
        <f t="shared" ref="V5:W7" si="4">A4</f>
        <v>1</v>
      </c>
      <c r="W5" s="410">
        <f>B4</f>
        <v>217</v>
      </c>
      <c r="X5" s="411">
        <f t="shared" ref="X5:Z7" si="5">C4</f>
        <v>158</v>
      </c>
      <c r="Y5" s="411">
        <f t="shared" si="5"/>
        <v>229</v>
      </c>
      <c r="Z5" s="412">
        <f t="shared" si="5"/>
        <v>223</v>
      </c>
      <c r="AA5" s="420">
        <f>SUMPRODUCT($W$4:$Z$4,W5:Z5)</f>
        <v>-71</v>
      </c>
      <c r="AE5" s="7" t="str">
        <v>C</v>
      </c>
      <c r="AF5" s="7">
        <f>AVERAGE(D4:D6)</f>
        <v>185.33333333333334</v>
      </c>
      <c r="AG5" s="7"/>
      <c r="AH5" s="7"/>
      <c r="AI5" s="7"/>
      <c r="AJ5" s="7"/>
    </row>
    <row r="6" spans="1:38" x14ac:dyDescent="0.25">
      <c r="A6" s="365">
        <v>3</v>
      </c>
      <c r="B6" s="52">
        <v>162</v>
      </c>
      <c r="C6" s="353">
        <v>122</v>
      </c>
      <c r="D6" s="353">
        <v>167</v>
      </c>
      <c r="E6" s="56">
        <v>182</v>
      </c>
      <c r="G6">
        <f t="shared" si="2"/>
        <v>3</v>
      </c>
      <c r="H6" s="348" t="e">
        <f ca="1"/>
        <v>#NAME?</v>
      </c>
      <c r="I6" s="349" t="e">
        <f ca="1"/>
        <v>#NAME?</v>
      </c>
      <c r="J6" s="349" t="e">
        <f ca="1"/>
        <v>#NAME?</v>
      </c>
      <c r="K6" s="350" t="e">
        <f ca="1"/>
        <v>#NAME?</v>
      </c>
      <c r="L6" t="e">
        <f t="shared" ca="1" si="3"/>
        <v>#NAME?</v>
      </c>
      <c r="N6" t="s">
        <v>47</v>
      </c>
      <c r="O6" t="e">
        <f ca="1">(P5+1)*DEVSQ(H7:K7)-T6</f>
        <v>#NAME?</v>
      </c>
      <c r="P6">
        <f ca="1">COUNT(H4:K4)-1</f>
        <v>-1</v>
      </c>
      <c r="Q6" t="e">
        <f ca="1">O6/P6</f>
        <v>#NAME?</v>
      </c>
      <c r="R6" t="e">
        <f ca="1">Q6/Q7</f>
        <v>#NAME?</v>
      </c>
      <c r="S6" t="e">
        <f ca="1">FDIST(R6,P6,P7)</f>
        <v>#NAME?</v>
      </c>
      <c r="T6" t="e">
        <f ca="1">RCBDAdjSS(B4:E6,FALSE)</f>
        <v>#NAME?</v>
      </c>
      <c r="V6">
        <f t="shared" si="4"/>
        <v>2</v>
      </c>
      <c r="W6" s="76">
        <f t="shared" si="4"/>
        <v>188</v>
      </c>
      <c r="X6" s="7">
        <f t="shared" si="5"/>
        <v>126</v>
      </c>
      <c r="Y6" s="7">
        <f t="shared" si="5"/>
        <v>160</v>
      </c>
      <c r="Z6" s="35">
        <f t="shared" si="5"/>
        <v>201</v>
      </c>
      <c r="AA6" s="173">
        <f t="shared" ref="AA6:AA7" si="6">SUMPRODUCT($W$4:$Z$4,W6:Z6)</f>
        <v>-34</v>
      </c>
      <c r="AE6" s="353" t="str">
        <v>D</v>
      </c>
      <c r="AF6" s="353">
        <f>AVERAGE(E4:E6)</f>
        <v>202</v>
      </c>
      <c r="AG6" s="353"/>
      <c r="AH6" s="353"/>
      <c r="AI6" s="353"/>
      <c r="AJ6" s="353"/>
    </row>
    <row r="7" spans="1:38" x14ac:dyDescent="0.25">
      <c r="G7" t="s">
        <v>8</v>
      </c>
      <c r="H7" t="e">
        <f ca="1">AVERAGE(H4:H6)</f>
        <v>#NAME?</v>
      </c>
      <c r="I7" t="e">
        <f t="shared" ref="I7:L7" ca="1" si="7">AVERAGE(I4:I6)</f>
        <v>#NAME?</v>
      </c>
      <c r="J7" t="e">
        <f t="shared" ca="1" si="7"/>
        <v>#NAME?</v>
      </c>
      <c r="K7" t="e">
        <f t="shared" ca="1" si="7"/>
        <v>#NAME?</v>
      </c>
      <c r="L7" t="e">
        <f t="shared" ca="1" si="7"/>
        <v>#NAME?</v>
      </c>
      <c r="N7" t="s">
        <v>122</v>
      </c>
      <c r="O7" t="e">
        <f ca="1">O8-O5-O6</f>
        <v>#NAME?</v>
      </c>
      <c r="P7">
        <f ca="1">P8-P5-P6</f>
        <v>1</v>
      </c>
      <c r="Q7" t="e">
        <f ca="1">O7/P7</f>
        <v>#NAME?</v>
      </c>
      <c r="V7">
        <f t="shared" si="4"/>
        <v>3</v>
      </c>
      <c r="W7" s="348">
        <f t="shared" si="4"/>
        <v>162</v>
      </c>
      <c r="X7" s="349">
        <f t="shared" si="5"/>
        <v>122</v>
      </c>
      <c r="Y7" s="349">
        <f t="shared" si="5"/>
        <v>167</v>
      </c>
      <c r="Z7" s="350">
        <f t="shared" si="5"/>
        <v>182</v>
      </c>
      <c r="AA7" s="378">
        <f t="shared" si="6"/>
        <v>-45</v>
      </c>
      <c r="AG7" t="e">
        <f ca="1">SQRT(MSWF(B4:E6,1)/COUNT(B4:B6))</f>
        <v>#NAME?</v>
      </c>
      <c r="AH7" t="e">
        <f ca="1">dfWF(B4:E6,1)</f>
        <v>#NAME?</v>
      </c>
      <c r="AI7" t="e">
        <f ca="1">QCRIT(COUNT(AF3:AF6),AH7,AL8,2)</f>
        <v>#NAME?</v>
      </c>
      <c r="AJ7" t="e">
        <f ca="1">AG7*AI7</f>
        <v>#NAME?</v>
      </c>
    </row>
    <row r="8" spans="1:38" ht="15.75" thickBot="1" x14ac:dyDescent="0.3">
      <c r="G8" t="s">
        <v>48</v>
      </c>
      <c r="H8" t="e">
        <f ca="1">VAR(H4:H6)</f>
        <v>#NAME?</v>
      </c>
      <c r="I8" t="e">
        <f t="shared" ref="I8:L8" ca="1" si="8">VAR(I4:I6)</f>
        <v>#NAME?</v>
      </c>
      <c r="J8" t="e">
        <f t="shared" ca="1" si="8"/>
        <v>#NAME?</v>
      </c>
      <c r="K8" t="e">
        <f t="shared" ca="1" si="8"/>
        <v>#NAME?</v>
      </c>
      <c r="L8" t="e">
        <f t="shared" ca="1" si="8"/>
        <v>#NAME?</v>
      </c>
      <c r="N8" t="s">
        <v>1</v>
      </c>
      <c r="O8" t="e">
        <f ca="1">DEVSQ(H4:K6)-T5-T6</f>
        <v>#NAME?</v>
      </c>
      <c r="P8">
        <f ca="1">(P5+1)*(P6+1)-1-J1</f>
        <v>-1</v>
      </c>
      <c r="Z8" t="s">
        <v>6</v>
      </c>
      <c r="AA8" s="420">
        <f>AVERAGE(AA5:AA7)</f>
        <v>-50</v>
      </c>
      <c r="AE8" t="s">
        <v>498</v>
      </c>
      <c r="AK8" s="365" t="s">
        <v>58</v>
      </c>
      <c r="AL8">
        <v>0.05</v>
      </c>
    </row>
    <row r="9" spans="1:38" ht="15.75" thickTop="1" x14ac:dyDescent="0.25">
      <c r="N9" s="421"/>
      <c r="O9" s="421"/>
      <c r="P9" s="421"/>
      <c r="Q9" s="421"/>
      <c r="R9" s="421"/>
      <c r="S9" s="421"/>
      <c r="T9" s="421"/>
      <c r="Z9" t="s">
        <v>46</v>
      </c>
      <c r="AA9" s="173">
        <f>STDEV(AA5:AA7)</f>
        <v>19</v>
      </c>
      <c r="AE9" s="191" t="s">
        <v>827</v>
      </c>
      <c r="AF9" s="191" t="s">
        <v>828</v>
      </c>
      <c r="AG9" s="191" t="s">
        <v>6</v>
      </c>
      <c r="AH9" s="191" t="s">
        <v>497</v>
      </c>
      <c r="AI9" s="191" t="s">
        <v>14</v>
      </c>
      <c r="AJ9" s="191" t="s">
        <v>15</v>
      </c>
      <c r="AK9" s="191" t="s">
        <v>43</v>
      </c>
      <c r="AL9" s="191" t="s">
        <v>41</v>
      </c>
    </row>
    <row r="10" spans="1:38" x14ac:dyDescent="0.25">
      <c r="Z10" t="s">
        <v>183</v>
      </c>
      <c r="AA10" s="378">
        <f>AA9/SQRT(COUNTA(AA5:AA7))</f>
        <v>10.96965511460289</v>
      </c>
      <c r="AE10" s="351" t="str">
        <f>AE3</f>
        <v>A</v>
      </c>
      <c r="AF10" s="351" t="str">
        <f>AE4</f>
        <v>B</v>
      </c>
      <c r="AG10" s="351">
        <f>ABS(AF3-AF4)</f>
        <v>53.666666666666657</v>
      </c>
      <c r="AH10" s="351" t="e">
        <f ca="1">AG10/AG$7</f>
        <v>#NAME?</v>
      </c>
      <c r="AI10" s="351" t="e">
        <f ca="1">AG10-AJ$7</f>
        <v>#NAME?</v>
      </c>
      <c r="AJ10" s="351" t="e">
        <f ca="1">AG10+AJ$7</f>
        <v>#NAME?</v>
      </c>
      <c r="AK10" s="351" t="e">
        <f ca="1">QDIST(AH10,COUNT(AF$3:AF$6),AH$7)</f>
        <v>#NAME?</v>
      </c>
      <c r="AL10" s="351" t="e">
        <f ca="1">AH10/SQRT(COUNT(B$4:B$6))</f>
        <v>#NAME?</v>
      </c>
    </row>
    <row r="11" spans="1:38" x14ac:dyDescent="0.25">
      <c r="AE11" s="7" t="str">
        <f>AE3</f>
        <v>A</v>
      </c>
      <c r="AF11" s="7" t="str">
        <f>AE5</f>
        <v>C</v>
      </c>
      <c r="AG11" s="7">
        <f>ABS(AF3-AF5)</f>
        <v>3.6666666666666572</v>
      </c>
      <c r="AH11" s="7" t="e">
        <f t="shared" ref="AH11:AH15" ca="1" si="9">AG11/AG$7</f>
        <v>#NAME?</v>
      </c>
      <c r="AI11" s="7" t="e">
        <f t="shared" ref="AI11:AI15" ca="1" si="10">AG11-AJ$7</f>
        <v>#NAME?</v>
      </c>
      <c r="AJ11" s="7" t="e">
        <f t="shared" ref="AJ11:AJ15" ca="1" si="11">AG11+AJ$7</f>
        <v>#NAME?</v>
      </c>
      <c r="AK11" s="7" t="e">
        <f ca="1">QDIST(AH11,COUNT(AF$3:AF$6),AH$7)</f>
        <v>#NAME?</v>
      </c>
      <c r="AL11" s="7" t="e">
        <f t="shared" ref="AL11:AL15" ca="1" si="12">AH11/SQRT(COUNT(B$4:B$6))</f>
        <v>#NAME?</v>
      </c>
    </row>
    <row r="12" spans="1:38" ht="15.75" thickBot="1" x14ac:dyDescent="0.3">
      <c r="V12" t="s">
        <v>42</v>
      </c>
      <c r="Y12" t="s">
        <v>17</v>
      </c>
      <c r="Z12">
        <v>0.05</v>
      </c>
      <c r="AE12" s="7" t="str">
        <f>AE3</f>
        <v>A</v>
      </c>
      <c r="AF12" s="7" t="str">
        <f>AE6</f>
        <v>D</v>
      </c>
      <c r="AG12" s="7">
        <f>ABS(AF3-AF6)</f>
        <v>13</v>
      </c>
      <c r="AH12" s="7" t="e">
        <f t="shared" ca="1" si="9"/>
        <v>#NAME?</v>
      </c>
      <c r="AI12" s="7" t="e">
        <f t="shared" ca="1" si="10"/>
        <v>#NAME?</v>
      </c>
      <c r="AJ12" s="7" t="e">
        <f t="shared" ca="1" si="11"/>
        <v>#NAME?</v>
      </c>
      <c r="AK12" s="7" t="e">
        <f ca="1">QDIST(AH12,COUNT(AF$3:AF$6),AH$7)</f>
        <v>#NAME?</v>
      </c>
      <c r="AL12" s="7" t="e">
        <f t="shared" ca="1" si="12"/>
        <v>#NAME?</v>
      </c>
    </row>
    <row r="13" spans="1:38" ht="15.75" thickTop="1" x14ac:dyDescent="0.25">
      <c r="V13" s="191" t="s">
        <v>6</v>
      </c>
      <c r="W13" s="191" t="s">
        <v>183</v>
      </c>
      <c r="X13" s="191" t="s">
        <v>53</v>
      </c>
      <c r="Y13" s="191" t="s">
        <v>37</v>
      </c>
      <c r="Z13" s="191" t="s">
        <v>43</v>
      </c>
      <c r="AA13" s="191" t="s">
        <v>111</v>
      </c>
      <c r="AB13" s="191" t="s">
        <v>191</v>
      </c>
      <c r="AC13" s="191" t="s">
        <v>192</v>
      </c>
      <c r="AE13" s="7" t="str">
        <f>AE4</f>
        <v>B</v>
      </c>
      <c r="AF13" s="7" t="str">
        <f>AE5</f>
        <v>C</v>
      </c>
      <c r="AG13" s="7">
        <f>ABS(AF4-AF5)</f>
        <v>50</v>
      </c>
      <c r="AH13" s="7" t="e">
        <f t="shared" ca="1" si="9"/>
        <v>#NAME?</v>
      </c>
      <c r="AI13" s="7" t="e">
        <f t="shared" ca="1" si="10"/>
        <v>#NAME?</v>
      </c>
      <c r="AJ13" s="7" t="e">
        <f t="shared" ca="1" si="11"/>
        <v>#NAME?</v>
      </c>
      <c r="AK13" s="7" t="e">
        <f ca="1">QDIST(AH13,COUNT(AF$3:AF$6),AH$7)</f>
        <v>#NAME?</v>
      </c>
      <c r="AL13" s="7" t="e">
        <f t="shared" ca="1" si="12"/>
        <v>#NAME?</v>
      </c>
    </row>
    <row r="14" spans="1:38" x14ac:dyDescent="0.25">
      <c r="V14" s="408">
        <f>AA8</f>
        <v>-50</v>
      </c>
      <c r="W14" s="408">
        <f>AA10</f>
        <v>10.96965511460289</v>
      </c>
      <c r="X14" s="408">
        <f>V14/W14</f>
        <v>-4.5580284409707295</v>
      </c>
      <c r="Y14" s="408">
        <f>COUNTA(AA5:AA7)-1</f>
        <v>2</v>
      </c>
      <c r="Z14" s="408">
        <f>TDIST(ABS(X14),Y14,2)</f>
        <v>4.4915283412048257E-2</v>
      </c>
      <c r="AA14" s="409" t="str">
        <f>IF(Z14&lt;Z12,"yes","no")</f>
        <v>yes</v>
      </c>
      <c r="AB14" s="408">
        <f>ABS(AA8)/AA9</f>
        <v>2.6315789473684212</v>
      </c>
      <c r="AC14" s="408">
        <f>SQRT(V14^2/(V14^2+Y14))</f>
        <v>0.99960023984011193</v>
      </c>
      <c r="AD14" s="365"/>
      <c r="AE14" s="7" t="str">
        <f>AE4</f>
        <v>B</v>
      </c>
      <c r="AF14" s="7" t="str">
        <f>AE6</f>
        <v>D</v>
      </c>
      <c r="AG14" s="7">
        <f>ABS(AF4-AF6)</f>
        <v>66.666666666666657</v>
      </c>
      <c r="AH14" s="7" t="e">
        <f t="shared" ca="1" si="9"/>
        <v>#NAME?</v>
      </c>
      <c r="AI14" s="7" t="e">
        <f t="shared" ca="1" si="10"/>
        <v>#NAME?</v>
      </c>
      <c r="AJ14" s="7" t="e">
        <f t="shared" ca="1" si="11"/>
        <v>#NAME?</v>
      </c>
      <c r="AK14" s="7" t="e">
        <f ca="1">QDIST(AH14,COUNT(AF$3:AF$6),AH$7)</f>
        <v>#NAME?</v>
      </c>
      <c r="AL14" s="7" t="e">
        <f t="shared" ca="1" si="12"/>
        <v>#NAME?</v>
      </c>
    </row>
    <row r="15" spans="1:38" x14ac:dyDescent="0.25">
      <c r="AE15" s="353" t="str">
        <f>AE5</f>
        <v>C</v>
      </c>
      <c r="AF15" s="353" t="str">
        <f>AE6</f>
        <v>D</v>
      </c>
      <c r="AG15" s="353">
        <f>ABS(AF5-AF6)</f>
        <v>16.666666666666657</v>
      </c>
      <c r="AH15" s="353" t="e">
        <f t="shared" ca="1" si="9"/>
        <v>#NAME?</v>
      </c>
      <c r="AI15" s="353" t="e">
        <f t="shared" ca="1" si="10"/>
        <v>#NAME?</v>
      </c>
      <c r="AJ15" s="353" t="e">
        <f t="shared" ca="1" si="11"/>
        <v>#NAME?</v>
      </c>
      <c r="AK15" s="353" t="e">
        <f ca="1">QDIST(AH15,COUNT(AF$3:AF$6),AH$7)</f>
        <v>#NAME?</v>
      </c>
      <c r="AL15" s="353" t="e">
        <f t="shared" ca="1" si="12"/>
        <v>#NAME?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P19"/>
  <sheetViews>
    <sheetView workbookViewId="0"/>
  </sheetViews>
  <sheetFormatPr defaultRowHeight="15" x14ac:dyDescent="0.25"/>
  <sheetData>
    <row r="1" spans="1:16" x14ac:dyDescent="0.25">
      <c r="A1" s="1" t="s">
        <v>668</v>
      </c>
      <c r="G1" t="s">
        <v>669</v>
      </c>
      <c r="M1" t="s">
        <v>567</v>
      </c>
    </row>
    <row r="3" spans="1:16" x14ac:dyDescent="0.25">
      <c r="A3" s="287"/>
      <c r="B3" s="287">
        <v>1</v>
      </c>
      <c r="C3" s="287">
        <f>B3+1</f>
        <v>2</v>
      </c>
      <c r="D3" s="287">
        <f>C3+1</f>
        <v>3</v>
      </c>
      <c r="E3" s="287">
        <f>D3+1</f>
        <v>4</v>
      </c>
      <c r="F3" s="287"/>
      <c r="H3" s="287">
        <v>1</v>
      </c>
      <c r="I3" s="287">
        <f>H3+1</f>
        <v>2</v>
      </c>
      <c r="J3" s="287">
        <f>I3+1</f>
        <v>3</v>
      </c>
      <c r="K3" s="287">
        <f>J3+1</f>
        <v>4</v>
      </c>
      <c r="M3" s="285" t="s">
        <v>25</v>
      </c>
      <c r="N3" s="285" t="s">
        <v>670</v>
      </c>
      <c r="O3" s="285" t="s">
        <v>671</v>
      </c>
      <c r="P3" s="285" t="s">
        <v>551</v>
      </c>
    </row>
    <row r="4" spans="1:16" x14ac:dyDescent="0.25">
      <c r="A4" s="38">
        <v>1</v>
      </c>
      <c r="B4" s="273" t="s">
        <v>672</v>
      </c>
      <c r="C4" s="265" t="s">
        <v>673</v>
      </c>
      <c r="D4" s="265" t="s">
        <v>674</v>
      </c>
      <c r="E4" s="274" t="s">
        <v>675</v>
      </c>
      <c r="F4" s="288"/>
      <c r="G4" s="38">
        <v>1</v>
      </c>
      <c r="H4" s="273" t="s">
        <v>74</v>
      </c>
      <c r="I4" s="265" t="s">
        <v>65</v>
      </c>
      <c r="J4" s="265" t="s">
        <v>66</v>
      </c>
      <c r="K4" s="274" t="s">
        <v>67</v>
      </c>
      <c r="M4" s="287">
        <v>1</v>
      </c>
      <c r="N4" s="38">
        <v>1</v>
      </c>
      <c r="O4" s="287" t="s">
        <v>74</v>
      </c>
      <c r="P4" s="287">
        <v>4</v>
      </c>
    </row>
    <row r="5" spans="1:16" x14ac:dyDescent="0.25">
      <c r="A5" s="287">
        <f>A4+1</f>
        <v>2</v>
      </c>
      <c r="B5" s="115" t="s">
        <v>676</v>
      </c>
      <c r="C5" s="288" t="s">
        <v>677</v>
      </c>
      <c r="D5" s="288" t="s">
        <v>678</v>
      </c>
      <c r="E5" s="72" t="s">
        <v>679</v>
      </c>
      <c r="F5" s="288"/>
      <c r="G5" s="287">
        <f>G4+1</f>
        <v>2</v>
      </c>
      <c r="H5" s="115" t="s">
        <v>65</v>
      </c>
      <c r="I5" s="288" t="s">
        <v>66</v>
      </c>
      <c r="J5" s="288" t="s">
        <v>67</v>
      </c>
      <c r="K5" s="72" t="s">
        <v>74</v>
      </c>
      <c r="M5" s="287">
        <v>1</v>
      </c>
      <c r="N5" s="287">
        <f>N4+1</f>
        <v>2</v>
      </c>
      <c r="O5" s="287" t="s">
        <v>65</v>
      </c>
      <c r="P5" s="287">
        <v>2</v>
      </c>
    </row>
    <row r="6" spans="1:16" x14ac:dyDescent="0.25">
      <c r="A6" s="287">
        <f>A5+1</f>
        <v>3</v>
      </c>
      <c r="B6" s="115" t="s">
        <v>680</v>
      </c>
      <c r="C6" s="288" t="s">
        <v>681</v>
      </c>
      <c r="D6" s="288" t="s">
        <v>682</v>
      </c>
      <c r="E6" s="72" t="s">
        <v>683</v>
      </c>
      <c r="F6" s="288"/>
      <c r="G6" s="287">
        <f>G5+1</f>
        <v>3</v>
      </c>
      <c r="H6" s="115" t="s">
        <v>66</v>
      </c>
      <c r="I6" s="288" t="s">
        <v>67</v>
      </c>
      <c r="J6" s="288" t="s">
        <v>74</v>
      </c>
      <c r="K6" s="72" t="s">
        <v>65</v>
      </c>
      <c r="M6" s="287">
        <v>1</v>
      </c>
      <c r="N6" s="287">
        <f>N5+1</f>
        <v>3</v>
      </c>
      <c r="O6" s="287" t="s">
        <v>66</v>
      </c>
      <c r="P6" s="287">
        <v>5</v>
      </c>
    </row>
    <row r="7" spans="1:16" x14ac:dyDescent="0.25">
      <c r="A7" s="287">
        <f>A6+1</f>
        <v>4</v>
      </c>
      <c r="B7" s="62" t="s">
        <v>684</v>
      </c>
      <c r="C7" s="289" t="s">
        <v>685</v>
      </c>
      <c r="D7" s="289" t="s">
        <v>686</v>
      </c>
      <c r="E7" s="54" t="s">
        <v>680</v>
      </c>
      <c r="F7" s="288"/>
      <c r="G7" s="287">
        <f>G6+1</f>
        <v>4</v>
      </c>
      <c r="H7" s="62" t="s">
        <v>67</v>
      </c>
      <c r="I7" s="289" t="s">
        <v>74</v>
      </c>
      <c r="J7" s="289" t="s">
        <v>65</v>
      </c>
      <c r="K7" s="54" t="s">
        <v>66</v>
      </c>
      <c r="M7" s="287">
        <v>1</v>
      </c>
      <c r="N7" s="287">
        <f>N6+1</f>
        <v>4</v>
      </c>
      <c r="O7" s="287" t="s">
        <v>67</v>
      </c>
      <c r="P7" s="287">
        <v>7</v>
      </c>
    </row>
    <row r="8" spans="1:16" x14ac:dyDescent="0.25">
      <c r="G8" s="38">
        <v>1</v>
      </c>
      <c r="H8" s="273">
        <v>4</v>
      </c>
      <c r="I8" s="265">
        <v>2</v>
      </c>
      <c r="J8" s="265">
        <v>5</v>
      </c>
      <c r="K8" s="274">
        <v>7</v>
      </c>
      <c r="M8" s="287">
        <v>2</v>
      </c>
      <c r="N8" s="38">
        <v>1</v>
      </c>
      <c r="O8" s="287" t="s">
        <v>65</v>
      </c>
      <c r="P8" s="287">
        <v>1</v>
      </c>
    </row>
    <row r="9" spans="1:16" x14ac:dyDescent="0.25">
      <c r="G9" s="287">
        <f>G8+1</f>
        <v>2</v>
      </c>
      <c r="H9" s="115">
        <v>1</v>
      </c>
      <c r="I9" s="288">
        <v>6</v>
      </c>
      <c r="J9" s="288">
        <v>6</v>
      </c>
      <c r="K9" s="72">
        <v>5</v>
      </c>
      <c r="M9" s="287">
        <v>2</v>
      </c>
      <c r="N9" s="287">
        <f>N8+1</f>
        <v>2</v>
      </c>
      <c r="O9" s="287" t="s">
        <v>66</v>
      </c>
      <c r="P9" s="287">
        <v>6</v>
      </c>
    </row>
    <row r="10" spans="1:16" x14ac:dyDescent="0.25">
      <c r="G10" s="287">
        <f>G9+1</f>
        <v>3</v>
      </c>
      <c r="H10" s="115">
        <v>8</v>
      </c>
      <c r="I10" s="288">
        <v>9</v>
      </c>
      <c r="J10" s="288">
        <v>6</v>
      </c>
      <c r="K10" s="72">
        <v>3</v>
      </c>
      <c r="M10" s="287">
        <v>2</v>
      </c>
      <c r="N10" s="287">
        <f>N9+1</f>
        <v>3</v>
      </c>
      <c r="O10" s="287" t="s">
        <v>67</v>
      </c>
      <c r="P10" s="287">
        <v>6</v>
      </c>
    </row>
    <row r="11" spans="1:16" x14ac:dyDescent="0.25">
      <c r="G11" s="287">
        <f>G10+1</f>
        <v>4</v>
      </c>
      <c r="H11" s="62">
        <v>11</v>
      </c>
      <c r="I11" s="289">
        <v>3</v>
      </c>
      <c r="J11" s="289">
        <v>7</v>
      </c>
      <c r="K11" s="54">
        <v>8</v>
      </c>
      <c r="M11" s="287">
        <v>2</v>
      </c>
      <c r="N11" s="287">
        <f>N10+1</f>
        <v>4</v>
      </c>
      <c r="O11" s="287" t="s">
        <v>74</v>
      </c>
      <c r="P11" s="287">
        <v>5</v>
      </c>
    </row>
    <row r="12" spans="1:16" x14ac:dyDescent="0.25">
      <c r="M12" s="287">
        <v>3</v>
      </c>
      <c r="N12" s="38">
        <v>1</v>
      </c>
      <c r="O12" s="287" t="s">
        <v>66</v>
      </c>
      <c r="P12" s="287">
        <v>8</v>
      </c>
    </row>
    <row r="13" spans="1:16" x14ac:dyDescent="0.25">
      <c r="M13" s="287">
        <v>3</v>
      </c>
      <c r="N13" s="287">
        <f>N12+1</f>
        <v>2</v>
      </c>
      <c r="O13" s="287" t="s">
        <v>67</v>
      </c>
      <c r="P13" s="287">
        <v>9</v>
      </c>
    </row>
    <row r="14" spans="1:16" x14ac:dyDescent="0.25">
      <c r="M14" s="287">
        <v>3</v>
      </c>
      <c r="N14" s="287">
        <f>N13+1</f>
        <v>3</v>
      </c>
      <c r="O14" s="287" t="s">
        <v>74</v>
      </c>
      <c r="P14" s="287">
        <v>6</v>
      </c>
    </row>
    <row r="15" spans="1:16" x14ac:dyDescent="0.25">
      <c r="M15" s="287">
        <v>3</v>
      </c>
      <c r="N15" s="287">
        <f>N14+1</f>
        <v>4</v>
      </c>
      <c r="O15" s="287" t="s">
        <v>65</v>
      </c>
      <c r="P15" s="287">
        <v>3</v>
      </c>
    </row>
    <row r="16" spans="1:16" x14ac:dyDescent="0.25">
      <c r="M16" s="287">
        <v>4</v>
      </c>
      <c r="N16" s="38">
        <v>1</v>
      </c>
      <c r="O16" s="287" t="s">
        <v>67</v>
      </c>
      <c r="P16" s="287">
        <v>11</v>
      </c>
    </row>
    <row r="17" spans="13:16" x14ac:dyDescent="0.25">
      <c r="M17" s="287">
        <v>4</v>
      </c>
      <c r="N17" s="287">
        <f>N16+1</f>
        <v>2</v>
      </c>
      <c r="O17" s="287" t="s">
        <v>74</v>
      </c>
      <c r="P17" s="287">
        <v>3</v>
      </c>
    </row>
    <row r="18" spans="13:16" x14ac:dyDescent="0.25">
      <c r="M18" s="287">
        <v>4</v>
      </c>
      <c r="N18" s="287">
        <f>N17+1</f>
        <v>3</v>
      </c>
      <c r="O18" s="287" t="s">
        <v>65</v>
      </c>
      <c r="P18" s="287">
        <v>7</v>
      </c>
    </row>
    <row r="19" spans="13:16" x14ac:dyDescent="0.25">
      <c r="M19" s="289">
        <v>4</v>
      </c>
      <c r="N19" s="289">
        <f>N18+1</f>
        <v>4</v>
      </c>
      <c r="O19" s="289" t="s">
        <v>66</v>
      </c>
      <c r="P19" s="289">
        <v>8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BB17"/>
  <sheetViews>
    <sheetView workbookViewId="0">
      <selection activeCell="AP20" sqref="AP20"/>
    </sheetView>
  </sheetViews>
  <sheetFormatPr defaultRowHeight="15" x14ac:dyDescent="0.25"/>
  <cols>
    <col min="1" max="11" width="4.7109375" customWidth="1"/>
    <col min="12" max="12" width="7" customWidth="1"/>
    <col min="13" max="13" width="4.7109375" customWidth="1"/>
    <col min="14" max="14" width="7" customWidth="1"/>
    <col min="16" max="16" width="4.85546875" customWidth="1"/>
    <col min="20" max="20" width="6" customWidth="1"/>
    <col min="21" max="21" width="4.7109375" customWidth="1"/>
  </cols>
  <sheetData>
    <row r="1" spans="1:54" x14ac:dyDescent="0.25">
      <c r="A1" s="1" t="s">
        <v>687</v>
      </c>
    </row>
    <row r="3" spans="1:54" ht="15.75" thickBot="1" x14ac:dyDescent="0.3">
      <c r="B3" s="368">
        <v>1</v>
      </c>
      <c r="C3" s="368">
        <f>B3+1</f>
        <v>2</v>
      </c>
      <c r="D3" s="368">
        <f>C3+1</f>
        <v>3</v>
      </c>
      <c r="E3" s="368">
        <f>D3+1</f>
        <v>4</v>
      </c>
      <c r="F3" s="368"/>
      <c r="H3" s="368">
        <v>1</v>
      </c>
      <c r="I3" s="368">
        <f>H3+1</f>
        <v>2</v>
      </c>
      <c r="J3" s="368">
        <f>I3+1</f>
        <v>3</v>
      </c>
      <c r="K3" s="368">
        <f>J3+1</f>
        <v>4</v>
      </c>
      <c r="N3" t="s">
        <v>84</v>
      </c>
      <c r="R3" s="368" t="s">
        <v>17</v>
      </c>
      <c r="S3" s="368">
        <v>0.05</v>
      </c>
      <c r="U3" s="368"/>
      <c r="X3" t="s">
        <v>12</v>
      </c>
      <c r="AB3" t="s">
        <v>667</v>
      </c>
      <c r="AJ3" t="s">
        <v>692</v>
      </c>
      <c r="AU3" t="s">
        <v>693</v>
      </c>
      <c r="AY3" t="s">
        <v>17</v>
      </c>
      <c r="AZ3">
        <v>0.05</v>
      </c>
    </row>
    <row r="4" spans="1:54" ht="15.75" thickTop="1" x14ac:dyDescent="0.25">
      <c r="A4" s="38">
        <v>1</v>
      </c>
      <c r="B4" s="422" t="s">
        <v>74</v>
      </c>
      <c r="C4" s="423" t="s">
        <v>65</v>
      </c>
      <c r="D4" s="423" t="s">
        <v>66</v>
      </c>
      <c r="E4" s="424" t="s">
        <v>67</v>
      </c>
      <c r="F4" s="308"/>
      <c r="G4" s="38">
        <v>1</v>
      </c>
      <c r="H4" s="422">
        <v>4</v>
      </c>
      <c r="I4" s="423">
        <v>2</v>
      </c>
      <c r="J4" s="423">
        <v>5</v>
      </c>
      <c r="K4" s="424">
        <v>7</v>
      </c>
      <c r="L4" s="12">
        <f>AVERAGE(H4:K4)</f>
        <v>4.5</v>
      </c>
      <c r="N4" s="191"/>
      <c r="O4" s="191" t="s">
        <v>76</v>
      </c>
      <c r="P4" s="191" t="s">
        <v>37</v>
      </c>
      <c r="Q4" s="191" t="s">
        <v>78</v>
      </c>
      <c r="R4" s="191" t="s">
        <v>68</v>
      </c>
      <c r="S4" s="191" t="s">
        <v>43</v>
      </c>
      <c r="T4" s="191" t="s">
        <v>111</v>
      </c>
      <c r="U4" s="308"/>
      <c r="AJ4" s="191" t="s">
        <v>825</v>
      </c>
      <c r="AK4" s="191" t="s">
        <v>829</v>
      </c>
      <c r="AL4" s="191" t="s">
        <v>6</v>
      </c>
      <c r="AU4" s="191" t="s">
        <v>825</v>
      </c>
      <c r="AV4" s="191" t="s">
        <v>6</v>
      </c>
      <c r="AW4" s="191" t="s">
        <v>183</v>
      </c>
      <c r="AX4" s="191" t="s">
        <v>37</v>
      </c>
      <c r="AY4" s="191" t="s">
        <v>113</v>
      </c>
      <c r="AZ4" s="191" t="s">
        <v>826</v>
      </c>
    </row>
    <row r="5" spans="1:54" ht="15.75" thickBot="1" x14ac:dyDescent="0.3">
      <c r="A5" s="368">
        <f>A4+1</f>
        <v>2</v>
      </c>
      <c r="B5" s="425" t="s">
        <v>65</v>
      </c>
      <c r="C5" s="308" t="s">
        <v>66</v>
      </c>
      <c r="D5" s="308" t="s">
        <v>67</v>
      </c>
      <c r="E5" s="72" t="s">
        <v>74</v>
      </c>
      <c r="F5" s="308"/>
      <c r="G5" s="368">
        <f>G4+1</f>
        <v>2</v>
      </c>
      <c r="H5" s="425">
        <v>1</v>
      </c>
      <c r="I5" s="308">
        <v>6</v>
      </c>
      <c r="J5" s="308">
        <v>6</v>
      </c>
      <c r="K5" s="72">
        <v>5</v>
      </c>
      <c r="L5" s="12">
        <f>AVERAGE(H5:K5)</f>
        <v>4.5</v>
      </c>
      <c r="N5" t="s">
        <v>688</v>
      </c>
      <c r="O5">
        <f>DEVSQ(H11:K11)*(P5+1)</f>
        <v>60.1875</v>
      </c>
      <c r="P5">
        <f>COUNT(B8:B11)-1</f>
        <v>3</v>
      </c>
      <c r="Q5">
        <f>O5/P5</f>
        <v>20.0625</v>
      </c>
      <c r="R5">
        <f>Q5/Q8</f>
        <v>5.7664670658682633</v>
      </c>
      <c r="S5">
        <f>FDIST(R5,P5,P8)</f>
        <v>3.3540115586941324E-2</v>
      </c>
      <c r="T5" s="368" t="str">
        <f>IF(S5&lt;S3,"yes","no")</f>
        <v>yes</v>
      </c>
      <c r="U5" s="308"/>
      <c r="W5" s="368"/>
      <c r="X5" s="368" t="s">
        <v>25</v>
      </c>
      <c r="Y5" s="368" t="s">
        <v>670</v>
      </c>
      <c r="Z5" s="368" t="s">
        <v>671</v>
      </c>
      <c r="AB5" t="s">
        <v>84</v>
      </c>
      <c r="AF5" s="368" t="s">
        <v>17</v>
      </c>
      <c r="AG5" s="368">
        <v>0.05</v>
      </c>
      <c r="AJ5" s="423" t="s">
        <v>74</v>
      </c>
      <c r="AK5" s="426">
        <v>-0.5</v>
      </c>
      <c r="AL5" s="427">
        <f t="array" ref="AL5:AL8">Z6:Z9</f>
        <v>4.5</v>
      </c>
      <c r="AU5" s="423" t="s">
        <v>74</v>
      </c>
      <c r="AV5" s="427">
        <f t="array" ref="AV5:AV8">Z6:Z9</f>
        <v>4.5</v>
      </c>
      <c r="AW5" s="427"/>
      <c r="AX5" s="427"/>
      <c r="AY5" s="427"/>
      <c r="AZ5" s="427"/>
    </row>
    <row r="6" spans="1:54" ht="15.75" thickTop="1" x14ac:dyDescent="0.25">
      <c r="A6" s="368">
        <f>A5+1</f>
        <v>3</v>
      </c>
      <c r="B6" s="425" t="s">
        <v>66</v>
      </c>
      <c r="C6" s="308" t="s">
        <v>67</v>
      </c>
      <c r="D6" s="308" t="s">
        <v>74</v>
      </c>
      <c r="E6" s="72" t="s">
        <v>65</v>
      </c>
      <c r="F6" s="308"/>
      <c r="G6" s="368">
        <f>G5+1</f>
        <v>3</v>
      </c>
      <c r="H6" s="425">
        <v>8</v>
      </c>
      <c r="I6" s="308">
        <v>9</v>
      </c>
      <c r="J6" s="308">
        <v>6</v>
      </c>
      <c r="K6" s="72">
        <v>3</v>
      </c>
      <c r="L6" s="12">
        <f>AVERAGE(H6:K6)</f>
        <v>6.5</v>
      </c>
      <c r="N6" t="s">
        <v>69</v>
      </c>
      <c r="O6">
        <f>DEVSQ(L4:L7)*(P6+1)</f>
        <v>23.6875</v>
      </c>
      <c r="P6">
        <f>P5</f>
        <v>3</v>
      </c>
      <c r="Q6">
        <f>O6/P6</f>
        <v>7.895833333333333</v>
      </c>
      <c r="R6">
        <f>Q6/Q8</f>
        <v>2.2694610778443112</v>
      </c>
      <c r="S6">
        <f>FDIST(R6,P6,P8)</f>
        <v>0.18068159246384277</v>
      </c>
      <c r="T6" s="368" t="str">
        <f>IF(S6&lt;S3,"yes","no")</f>
        <v>no</v>
      </c>
      <c r="U6" s="308"/>
      <c r="W6">
        <v>1</v>
      </c>
      <c r="X6" s="402">
        <f t="array" ref="X6">AVERAGE(IF($A$4:$A$7=W6,$B$8:$E$11,""))</f>
        <v>4.5</v>
      </c>
      <c r="Y6" s="345">
        <f>AVERAGE(B8:B11)</f>
        <v>6</v>
      </c>
      <c r="Z6" s="404">
        <f t="array" ref="Z6">AVERAGE(IF($B$4:$E$7=CHAR(64+W6),$B$8:$E$11,""))</f>
        <v>4.5</v>
      </c>
      <c r="AB6" s="191"/>
      <c r="AC6" s="191" t="s">
        <v>76</v>
      </c>
      <c r="AD6" s="191" t="s">
        <v>37</v>
      </c>
      <c r="AE6" s="191" t="s">
        <v>78</v>
      </c>
      <c r="AF6" s="191" t="s">
        <v>68</v>
      </c>
      <c r="AG6" s="191" t="s">
        <v>43</v>
      </c>
      <c r="AH6" s="191" t="s">
        <v>111</v>
      </c>
      <c r="AJ6" s="308" t="s">
        <v>65</v>
      </c>
      <c r="AK6" s="257">
        <v>-0.5</v>
      </c>
      <c r="AL6" s="7">
        <v>3.25</v>
      </c>
      <c r="AU6" s="308" t="s">
        <v>65</v>
      </c>
      <c r="AV6" s="7">
        <v>3.25</v>
      </c>
      <c r="AW6" s="7"/>
      <c r="AX6" s="7"/>
      <c r="AY6" s="7"/>
      <c r="AZ6" s="7"/>
    </row>
    <row r="7" spans="1:54" x14ac:dyDescent="0.25">
      <c r="A7" s="368">
        <f>A6+1</f>
        <v>4</v>
      </c>
      <c r="B7" s="62" t="s">
        <v>67</v>
      </c>
      <c r="C7" s="385" t="s">
        <v>74</v>
      </c>
      <c r="D7" s="385" t="s">
        <v>65</v>
      </c>
      <c r="E7" s="54" t="s">
        <v>66</v>
      </c>
      <c r="F7" s="308"/>
      <c r="G7" s="368">
        <f>G6+1</f>
        <v>4</v>
      </c>
      <c r="H7" s="62">
        <v>11</v>
      </c>
      <c r="I7" s="385">
        <v>3</v>
      </c>
      <c r="J7" s="385">
        <v>7</v>
      </c>
      <c r="K7" s="54">
        <v>8</v>
      </c>
      <c r="L7" s="12">
        <f>AVERAGE(H7:K7)</f>
        <v>7.25</v>
      </c>
      <c r="N7" t="s">
        <v>70</v>
      </c>
      <c r="O7">
        <f>DEVSQ(H8:K8)*(P7+1)</f>
        <v>2.6875</v>
      </c>
      <c r="P7">
        <f>P6</f>
        <v>3</v>
      </c>
      <c r="Q7">
        <f>O7/P7</f>
        <v>0.89583333333333337</v>
      </c>
      <c r="R7">
        <f>Q7/Q8</f>
        <v>0.25748502994011979</v>
      </c>
      <c r="S7">
        <f>FDIST(R7,P7,P8)</f>
        <v>0.85359994756545676</v>
      </c>
      <c r="T7" s="368" t="str">
        <f>IF(S7&lt;S3,"yes","no")</f>
        <v>no</v>
      </c>
      <c r="U7" s="308"/>
      <c r="W7">
        <f>W6+1</f>
        <v>2</v>
      </c>
      <c r="X7" s="428">
        <f t="array" ref="X7">AVERAGE(IF($A$4:$A$7=W7,$B$8:$E$11,""))</f>
        <v>4.5</v>
      </c>
      <c r="Y7" s="7">
        <f>AVERAGE(C8:C11)</f>
        <v>5</v>
      </c>
      <c r="Z7" s="35">
        <f t="array" ref="Z7">AVERAGE(IF($B$4:$E$7=CHAR(64+W7),$B$8:$E$11,""))</f>
        <v>3.25</v>
      </c>
      <c r="AB7" t="s">
        <v>389</v>
      </c>
      <c r="AC7">
        <f>DEVSQ(Z6:Z9)*(AD7+1)</f>
        <v>60.1875</v>
      </c>
      <c r="AD7">
        <f>COUNT(Z6:Z9)-1</f>
        <v>3</v>
      </c>
      <c r="AE7">
        <f>AC7/AD7</f>
        <v>20.0625</v>
      </c>
      <c r="AF7">
        <f>AE7/AE10</f>
        <v>5.7664670658682633</v>
      </c>
      <c r="AG7">
        <f>FDIST(AF7,AD7,AD10)</f>
        <v>3.3540115586941324E-2</v>
      </c>
      <c r="AH7" s="368" t="str">
        <f>IF(AG7&lt;AG5,"yes","no")</f>
        <v>yes</v>
      </c>
      <c r="AJ7" s="308" t="s">
        <v>66</v>
      </c>
      <c r="AK7" s="257"/>
      <c r="AL7" s="7">
        <v>6.75</v>
      </c>
      <c r="AU7" s="308" t="s">
        <v>66</v>
      </c>
      <c r="AV7" s="7">
        <v>6.75</v>
      </c>
      <c r="AW7" s="7"/>
      <c r="AX7" s="7"/>
      <c r="AY7" s="7"/>
      <c r="AZ7" s="7"/>
    </row>
    <row r="8" spans="1:54" x14ac:dyDescent="0.25">
      <c r="A8" s="38">
        <v>1</v>
      </c>
      <c r="B8" s="422">
        <v>4</v>
      </c>
      <c r="C8" s="423">
        <v>2</v>
      </c>
      <c r="D8" s="423">
        <v>5</v>
      </c>
      <c r="E8" s="424">
        <v>7</v>
      </c>
      <c r="F8" s="308"/>
      <c r="G8" s="308"/>
      <c r="H8" s="308">
        <f>AVERAGE(H4:H7)</f>
        <v>6</v>
      </c>
      <c r="I8" s="308">
        <f>AVERAGE(I4:I7)</f>
        <v>5</v>
      </c>
      <c r="J8" s="308">
        <f>AVERAGE(J4:J7)</f>
        <v>6</v>
      </c>
      <c r="K8" s="308">
        <f>AVERAGE(K4:K7)</f>
        <v>5.75</v>
      </c>
      <c r="L8" s="20">
        <f>AVERAGE(L4:L7)</f>
        <v>5.6875</v>
      </c>
      <c r="N8" t="s">
        <v>122</v>
      </c>
      <c r="O8">
        <f>O9-SUM(O5:O7)</f>
        <v>20.875</v>
      </c>
      <c r="P8">
        <f>P5*(P5-1)</f>
        <v>6</v>
      </c>
      <c r="Q8">
        <f>O8/P8</f>
        <v>3.4791666666666665</v>
      </c>
      <c r="U8" s="308"/>
      <c r="W8">
        <f t="shared" ref="W8:W9" si="0">W7+1</f>
        <v>3</v>
      </c>
      <c r="X8" s="428">
        <f t="array" ref="X8">AVERAGE(IF($A$4:$A$7=W8,$B$8:$E$11,""))</f>
        <v>6.5</v>
      </c>
      <c r="Y8" s="7">
        <f>AVERAGE(D8:D11)</f>
        <v>6</v>
      </c>
      <c r="Z8" s="35">
        <f t="array" ref="Z8">AVERAGE(IF($B$4:$E$7=CHAR(64+W8),$B$8:$E$11,""))</f>
        <v>6.75</v>
      </c>
      <c r="AB8" t="s">
        <v>69</v>
      </c>
      <c r="AC8">
        <f>DEVSQ(X6:X9)*(AD8+1)</f>
        <v>23.6875</v>
      </c>
      <c r="AD8">
        <f>AD7</f>
        <v>3</v>
      </c>
      <c r="AE8">
        <f>AC8/AD8</f>
        <v>7.895833333333333</v>
      </c>
      <c r="AF8">
        <f>AE8/AE10</f>
        <v>2.2694610778443112</v>
      </c>
      <c r="AG8">
        <f>FDIST(AF8,AD8,AD10)</f>
        <v>0.18068159246384277</v>
      </c>
      <c r="AH8" s="368" t="str">
        <f>IF(AG8&lt;AG5,"yes","no")</f>
        <v>no</v>
      </c>
      <c r="AJ8" s="385" t="s">
        <v>67</v>
      </c>
      <c r="AK8" s="355">
        <v>1</v>
      </c>
      <c r="AL8" s="353">
        <v>8.25</v>
      </c>
      <c r="AU8" s="385" t="s">
        <v>67</v>
      </c>
      <c r="AV8" s="353">
        <v>8.25</v>
      </c>
      <c r="AW8" s="353"/>
      <c r="AX8" s="353"/>
      <c r="AY8" s="353"/>
      <c r="AZ8" s="353"/>
    </row>
    <row r="9" spans="1:54" x14ac:dyDescent="0.25">
      <c r="A9" s="368">
        <f>A8+1</f>
        <v>2</v>
      </c>
      <c r="B9" s="429">
        <v>1</v>
      </c>
      <c r="C9" s="308">
        <v>6</v>
      </c>
      <c r="D9" s="308">
        <v>6</v>
      </c>
      <c r="E9" s="72">
        <v>5</v>
      </c>
      <c r="F9" s="308"/>
      <c r="N9" s="353" t="s">
        <v>1</v>
      </c>
      <c r="O9" s="353">
        <f>DEVSQ(H4:K7)</f>
        <v>107.4375</v>
      </c>
      <c r="P9" s="353">
        <f>(P5+1)^2-1</f>
        <v>15</v>
      </c>
      <c r="Q9" s="353">
        <f>O9/P9</f>
        <v>7.1624999999999996</v>
      </c>
      <c r="R9" s="353"/>
      <c r="S9" s="353"/>
      <c r="T9" s="353"/>
      <c r="U9" s="308"/>
      <c r="W9">
        <f t="shared" si="0"/>
        <v>4</v>
      </c>
      <c r="X9" s="348">
        <f t="array" ref="X9">AVERAGE(IF($A$4:$A$7=W9,$B$8:$E$11,""))</f>
        <v>7.25</v>
      </c>
      <c r="Y9" s="183">
        <f>AVERAGE(E8:E11)</f>
        <v>5.75</v>
      </c>
      <c r="Z9" s="184">
        <f t="array" ref="Z9">AVERAGE(IF($B$4:$E$7=CHAR(64+W9),$B$8:$E$11,""))</f>
        <v>8.25</v>
      </c>
      <c r="AB9" t="s">
        <v>123</v>
      </c>
      <c r="AC9">
        <f>DEVSQ(Y6:Y9)*(AD9+1)</f>
        <v>2.6875</v>
      </c>
      <c r="AD9">
        <f>AD7</f>
        <v>3</v>
      </c>
      <c r="AE9">
        <f>AC9/AD9</f>
        <v>0.89583333333333337</v>
      </c>
      <c r="AF9">
        <f>AE9/AE10</f>
        <v>0.25748502994011979</v>
      </c>
      <c r="AG9">
        <f>FDIST(AF9,AD9,AD10)</f>
        <v>0.85359994756545676</v>
      </c>
      <c r="AH9" s="368" t="str">
        <f>IF(AG9&lt;AG5,"yes","no")</f>
        <v>no</v>
      </c>
      <c r="AK9">
        <f>SUM(AK5:AK8)</f>
        <v>0</v>
      </c>
      <c r="AL9">
        <f>SUMPRODUCT(AK5:AK8,AL5:AL8)</f>
        <v>4.375</v>
      </c>
      <c r="AW9">
        <f>SQRT(AE10/(AD7+1))</f>
        <v>0.93262622023330799</v>
      </c>
      <c r="AX9">
        <f>AD10</f>
        <v>6</v>
      </c>
      <c r="AY9" t="e">
        <f ca="1">QCRIT(COUNT(AV5:AV8),AX9,AZ3,2)</f>
        <v>#NAME?</v>
      </c>
      <c r="AZ9" t="e">
        <f ca="1">AW9*AY9</f>
        <v>#NAME?</v>
      </c>
    </row>
    <row r="10" spans="1:54" ht="15.75" thickBot="1" x14ac:dyDescent="0.3">
      <c r="A10" s="368">
        <f>A9+1</f>
        <v>3</v>
      </c>
      <c r="B10" s="429">
        <v>8</v>
      </c>
      <c r="C10" s="308">
        <v>9</v>
      </c>
      <c r="D10" s="308">
        <v>6</v>
      </c>
      <c r="E10" s="72">
        <v>3</v>
      </c>
      <c r="F10" s="308"/>
      <c r="H10" s="38" t="s">
        <v>74</v>
      </c>
      <c r="I10" s="38" t="s">
        <v>65</v>
      </c>
      <c r="J10" s="38" t="s">
        <v>66</v>
      </c>
      <c r="K10" s="38" t="s">
        <v>67</v>
      </c>
      <c r="U10" s="308"/>
      <c r="AB10" t="s">
        <v>122</v>
      </c>
      <c r="AC10">
        <f>AC11-SUM(AC7:AC9)</f>
        <v>20.875</v>
      </c>
      <c r="AD10">
        <f>AD11-SUM(AD7:AD9)</f>
        <v>6</v>
      </c>
      <c r="AE10">
        <f>AC10/AD10</f>
        <v>3.4791666666666665</v>
      </c>
      <c r="AU10" t="s">
        <v>498</v>
      </c>
    </row>
    <row r="11" spans="1:54" ht="16.5" thickTop="1" thickBot="1" x14ac:dyDescent="0.3">
      <c r="A11" s="368">
        <f>A10+1</f>
        <v>4</v>
      </c>
      <c r="B11" s="62">
        <v>11</v>
      </c>
      <c r="C11" s="385">
        <v>3</v>
      </c>
      <c r="D11" s="385">
        <v>7</v>
      </c>
      <c r="E11" s="54">
        <v>8</v>
      </c>
      <c r="F11" s="308"/>
      <c r="H11" s="366">
        <f>AVERAGEIF($B$4:$E$7,H10,$B$8:$E$11)</f>
        <v>4.5</v>
      </c>
      <c r="I11" s="430">
        <f>AVERAGEIF($B$4:$E$7,I10,$B$8:$E$11)</f>
        <v>3.25</v>
      </c>
      <c r="J11" s="430">
        <f>AVERAGEIF($B$4:$E$7,J10,$B$8:$E$11)</f>
        <v>6.75</v>
      </c>
      <c r="K11" s="367">
        <f>AVERAGEIF($B$4:$E$7,K10,$B$8:$E$11)</f>
        <v>8.25</v>
      </c>
      <c r="U11" s="308"/>
      <c r="AB11" s="353" t="s">
        <v>1</v>
      </c>
      <c r="AC11" s="353">
        <f>DEVSQ(B8:E11)</f>
        <v>107.4375</v>
      </c>
      <c r="AD11" s="353">
        <f>COUNT(B8:E11)-1</f>
        <v>15</v>
      </c>
      <c r="AE11" s="353">
        <f>AC11/AD11</f>
        <v>7.1624999999999996</v>
      </c>
      <c r="AF11" s="353"/>
      <c r="AG11" s="353"/>
      <c r="AH11" s="353"/>
      <c r="AJ11" t="s">
        <v>42</v>
      </c>
      <c r="AO11" t="s">
        <v>17</v>
      </c>
      <c r="AP11">
        <v>0.05</v>
      </c>
      <c r="AU11" s="191" t="s">
        <v>827</v>
      </c>
      <c r="AV11" s="191" t="s">
        <v>828</v>
      </c>
      <c r="AW11" s="191" t="s">
        <v>6</v>
      </c>
      <c r="AX11" s="191" t="s">
        <v>497</v>
      </c>
      <c r="AY11" s="191" t="s">
        <v>14</v>
      </c>
      <c r="AZ11" s="191" t="s">
        <v>15</v>
      </c>
      <c r="BA11" s="191" t="s">
        <v>43</v>
      </c>
      <c r="BB11" s="191" t="s">
        <v>41</v>
      </c>
    </row>
    <row r="12" spans="1:54" ht="15.75" thickTop="1" x14ac:dyDescent="0.25">
      <c r="AJ12" s="191" t="s">
        <v>183</v>
      </c>
      <c r="AK12" s="191" t="s">
        <v>53</v>
      </c>
      <c r="AL12" s="191" t="s">
        <v>37</v>
      </c>
      <c r="AM12" s="191" t="s">
        <v>43</v>
      </c>
      <c r="AN12" s="191" t="s">
        <v>44</v>
      </c>
      <c r="AO12" s="191" t="s">
        <v>14</v>
      </c>
      <c r="AP12" s="191" t="s">
        <v>15</v>
      </c>
      <c r="AQ12" s="191" t="s">
        <v>111</v>
      </c>
      <c r="AR12" s="191" t="s">
        <v>41</v>
      </c>
      <c r="AS12" s="191" t="s">
        <v>192</v>
      </c>
      <c r="AU12" s="423" t="str">
        <f>AU5</f>
        <v>A</v>
      </c>
      <c r="AV12" s="423" t="str">
        <f>AU6</f>
        <v>B</v>
      </c>
      <c r="AW12" s="427">
        <f>ABS(AV5-AV6)</f>
        <v>1.25</v>
      </c>
      <c r="AX12" s="427">
        <f>AW12/AW$9</f>
        <v>1.3403011548263108</v>
      </c>
      <c r="AY12" s="427" t="e">
        <f ca="1">AW12-AZ$9</f>
        <v>#NAME?</v>
      </c>
      <c r="AZ12" s="427" t="e">
        <f ca="1">AW12+AZ$9</f>
        <v>#NAME?</v>
      </c>
      <c r="BA12" s="427" t="e">
        <f ca="1">QDIST(AX12,COUNT(AV$5:AV$8),AX$9)</f>
        <v>#NAME?</v>
      </c>
      <c r="BB12" s="427">
        <f>AW12/SQRT(AE$10)</f>
        <v>0.67015057741315542</v>
      </c>
    </row>
    <row r="13" spans="1:54" x14ac:dyDescent="0.25">
      <c r="AJ13" s="431">
        <f>SQRT(AE10*SUMSQ(AK5:AK8)/(AD7+1))</f>
        <v>1.1422291801560667</v>
      </c>
      <c r="AK13" s="431">
        <f>AL9/AJ13</f>
        <v>3.8302295861520794</v>
      </c>
      <c r="AL13" s="431">
        <f>AD10</f>
        <v>6</v>
      </c>
      <c r="AM13" s="431">
        <f>TDIST(ABS(AK13),AL13,2)</f>
        <v>8.6568440203196474E-3</v>
      </c>
      <c r="AN13" s="431">
        <f>TINV(AP11,AL13)</f>
        <v>2.4469118511449697</v>
      </c>
      <c r="AO13" s="431">
        <f>AL9-AJ13*AN13</f>
        <v>1.580065882352518</v>
      </c>
      <c r="AP13" s="431">
        <f>AL9+AJ13*AN13</f>
        <v>7.1699341176474825</v>
      </c>
      <c r="AQ13" s="430" t="str">
        <f>IF(AM13&lt;AP11,"yes","no")</f>
        <v>yes</v>
      </c>
      <c r="AR13" s="431">
        <f>ABS(AL9)/SQRT(AE10)</f>
        <v>2.3455270209460441</v>
      </c>
      <c r="AS13" s="431">
        <f>SQRT(AK13^2/(AK13^2+AL13))</f>
        <v>0.84245681659841776</v>
      </c>
      <c r="AU13" s="308" t="str">
        <f>AU5</f>
        <v>A</v>
      </c>
      <c r="AV13" s="308" t="str">
        <f>AU7</f>
        <v>C</v>
      </c>
      <c r="AW13" s="7">
        <f>ABS(AV5-AV7)</f>
        <v>2.25</v>
      </c>
      <c r="AX13" s="7">
        <f t="shared" ref="AX13:AX17" si="1">AW13/AW$9</f>
        <v>2.4125420786873595</v>
      </c>
      <c r="AY13" s="7" t="e">
        <f t="shared" ref="AY13:AY17" ca="1" si="2">AW13-AZ$9</f>
        <v>#NAME?</v>
      </c>
      <c r="AZ13" s="7" t="e">
        <f t="shared" ref="AZ13:AZ17" ca="1" si="3">AW13+AZ$9</f>
        <v>#NAME?</v>
      </c>
      <c r="BA13" s="7" t="e">
        <f ca="1">QDIST(AX13,COUNT(AV$5:AV$8),AX$9)</f>
        <v>#NAME?</v>
      </c>
      <c r="BB13" s="7">
        <f t="shared" ref="BB13:BB17" si="4">AW13/SQRT(AE$10)</f>
        <v>1.2062710393436797</v>
      </c>
    </row>
    <row r="14" spans="1:54" x14ac:dyDescent="0.25">
      <c r="AU14" s="308" t="str">
        <f>AU5</f>
        <v>A</v>
      </c>
      <c r="AV14" s="308" t="str">
        <f>AU8</f>
        <v>D</v>
      </c>
      <c r="AW14" s="7">
        <f>ABS(AV5-AV8)</f>
        <v>3.75</v>
      </c>
      <c r="AX14" s="7">
        <f t="shared" si="1"/>
        <v>4.0209034644789323</v>
      </c>
      <c r="AY14" s="7" t="e">
        <f t="shared" ca="1" si="2"/>
        <v>#NAME?</v>
      </c>
      <c r="AZ14" s="7" t="e">
        <f t="shared" ca="1" si="3"/>
        <v>#NAME?</v>
      </c>
      <c r="BA14" s="7" t="e">
        <f ca="1">QDIST(AX14,COUNT(AV$5:AV$8),AX$9)</f>
        <v>#NAME?</v>
      </c>
      <c r="BB14" s="7">
        <f t="shared" si="4"/>
        <v>2.0104517322394662</v>
      </c>
    </row>
    <row r="15" spans="1:54" x14ac:dyDescent="0.25">
      <c r="AU15" s="308" t="str">
        <f>AU6</f>
        <v>B</v>
      </c>
      <c r="AV15" s="308" t="str">
        <f>AU7</f>
        <v>C</v>
      </c>
      <c r="AW15" s="7">
        <f>ABS(AV6-AV7)</f>
        <v>3.5</v>
      </c>
      <c r="AX15" s="7">
        <f t="shared" si="1"/>
        <v>3.7528432335136706</v>
      </c>
      <c r="AY15" s="7" t="e">
        <f t="shared" ca="1" si="2"/>
        <v>#NAME?</v>
      </c>
      <c r="AZ15" s="7" t="e">
        <f t="shared" ca="1" si="3"/>
        <v>#NAME?</v>
      </c>
      <c r="BA15" s="7" t="e">
        <f ca="1">QDIST(AX15,COUNT(AV$5:AV$8),AX$9)</f>
        <v>#NAME?</v>
      </c>
      <c r="BB15" s="7">
        <f t="shared" si="4"/>
        <v>1.8764216167568353</v>
      </c>
    </row>
    <row r="16" spans="1:54" x14ac:dyDescent="0.25">
      <c r="AU16" s="308" t="str">
        <f>AU6</f>
        <v>B</v>
      </c>
      <c r="AV16" s="308" t="str">
        <f>AU8</f>
        <v>D</v>
      </c>
      <c r="AW16" s="7">
        <f>ABS(AV6-AV8)</f>
        <v>5</v>
      </c>
      <c r="AX16" s="7">
        <f t="shared" si="1"/>
        <v>5.3612046193052434</v>
      </c>
      <c r="AY16" s="7" t="e">
        <f t="shared" ca="1" si="2"/>
        <v>#NAME?</v>
      </c>
      <c r="AZ16" s="7" t="e">
        <f t="shared" ca="1" si="3"/>
        <v>#NAME?</v>
      </c>
      <c r="BA16" s="7" t="e">
        <f ca="1">QDIST(AX16,COUNT(AV$5:AV$8),AX$9)</f>
        <v>#NAME?</v>
      </c>
      <c r="BB16" s="7">
        <f t="shared" si="4"/>
        <v>2.6806023096526217</v>
      </c>
    </row>
    <row r="17" spans="47:54" x14ac:dyDescent="0.25">
      <c r="AU17" s="385" t="str">
        <f>AU7</f>
        <v>C</v>
      </c>
      <c r="AV17" s="385" t="str">
        <f>AU8</f>
        <v>D</v>
      </c>
      <c r="AW17" s="353">
        <f>ABS(AV7-AV8)</f>
        <v>1.5</v>
      </c>
      <c r="AX17" s="353">
        <f t="shared" si="1"/>
        <v>1.6083613857915731</v>
      </c>
      <c r="AY17" s="353" t="e">
        <f t="shared" ca="1" si="2"/>
        <v>#NAME?</v>
      </c>
      <c r="AZ17" s="353" t="e">
        <f t="shared" ca="1" si="3"/>
        <v>#NAME?</v>
      </c>
      <c r="BA17" s="353" t="e">
        <f ca="1">QDIST(AX17,COUNT(AV$5:AV$8),AX$9)</f>
        <v>#NAME?</v>
      </c>
      <c r="BB17" s="353">
        <f t="shared" si="4"/>
        <v>0.80418069289578653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T22"/>
  <sheetViews>
    <sheetView workbookViewId="0">
      <selection activeCell="O16" sqref="O16"/>
    </sheetView>
  </sheetViews>
  <sheetFormatPr defaultRowHeight="15" x14ac:dyDescent="0.25"/>
  <cols>
    <col min="1" max="1" width="4.140625" customWidth="1"/>
    <col min="2" max="5" width="5.85546875" customWidth="1"/>
    <col min="6" max="7" width="4.28515625" customWidth="1"/>
    <col min="8" max="11" width="5.7109375" customWidth="1"/>
    <col min="12" max="12" width="7" customWidth="1"/>
    <col min="13" max="13" width="4" customWidth="1"/>
    <col min="14" max="14" width="7" customWidth="1"/>
    <col min="16" max="16" width="5.140625" customWidth="1"/>
    <col min="20" max="20" width="6" customWidth="1"/>
  </cols>
  <sheetData>
    <row r="1" spans="1:20" x14ac:dyDescent="0.25">
      <c r="A1" s="1" t="s">
        <v>689</v>
      </c>
    </row>
    <row r="3" spans="1:20" x14ac:dyDescent="0.25">
      <c r="B3" s="287">
        <v>1</v>
      </c>
      <c r="C3" s="287">
        <f>B3+1</f>
        <v>2</v>
      </c>
      <c r="D3" s="287">
        <f>C3+1</f>
        <v>3</v>
      </c>
      <c r="E3" s="287">
        <f>D3+1</f>
        <v>4</v>
      </c>
      <c r="H3" s="287">
        <v>1</v>
      </c>
      <c r="I3" s="287">
        <f>H3+1</f>
        <v>2</v>
      </c>
      <c r="J3" s="287">
        <f>I3+1</f>
        <v>3</v>
      </c>
      <c r="K3" s="287">
        <f>J3+1</f>
        <v>4</v>
      </c>
    </row>
    <row r="4" spans="1:20" x14ac:dyDescent="0.25">
      <c r="A4" s="38">
        <v>1</v>
      </c>
      <c r="B4" s="273" t="s">
        <v>74</v>
      </c>
      <c r="C4" s="265" t="s">
        <v>65</v>
      </c>
      <c r="D4" s="265" t="s">
        <v>66</v>
      </c>
      <c r="E4" s="274" t="s">
        <v>67</v>
      </c>
      <c r="G4" s="38">
        <v>1</v>
      </c>
      <c r="H4" s="273">
        <v>4</v>
      </c>
      <c r="I4" s="265">
        <v>2</v>
      </c>
      <c r="J4" s="265">
        <v>5</v>
      </c>
      <c r="K4" s="274">
        <v>7</v>
      </c>
      <c r="L4" s="12">
        <f>AVERAGE(H4:K4)</f>
        <v>4.5</v>
      </c>
    </row>
    <row r="5" spans="1:20" x14ac:dyDescent="0.25">
      <c r="A5" s="287">
        <f>A4+1</f>
        <v>2</v>
      </c>
      <c r="B5" s="115" t="s">
        <v>65</v>
      </c>
      <c r="C5" s="288" t="s">
        <v>66</v>
      </c>
      <c r="D5" s="288" t="s">
        <v>67</v>
      </c>
      <c r="E5" s="72" t="s">
        <v>74</v>
      </c>
      <c r="G5" s="287">
        <f>G4+1</f>
        <v>2</v>
      </c>
      <c r="H5" s="115">
        <v>1</v>
      </c>
      <c r="I5" s="288">
        <v>6</v>
      </c>
      <c r="J5" s="288">
        <v>6</v>
      </c>
      <c r="K5" s="72">
        <v>5</v>
      </c>
      <c r="L5" s="12">
        <f>AVERAGE(H5:K5)</f>
        <v>4.5</v>
      </c>
    </row>
    <row r="6" spans="1:20" x14ac:dyDescent="0.25">
      <c r="A6" s="287">
        <f>A5+1</f>
        <v>3</v>
      </c>
      <c r="B6" s="115" t="s">
        <v>66</v>
      </c>
      <c r="C6" s="288" t="s">
        <v>67</v>
      </c>
      <c r="D6" s="288" t="s">
        <v>74</v>
      </c>
      <c r="E6" s="72" t="s">
        <v>65</v>
      </c>
      <c r="G6" s="287">
        <f>G5+1</f>
        <v>3</v>
      </c>
      <c r="H6" s="115"/>
      <c r="I6" s="288">
        <v>9</v>
      </c>
      <c r="J6" s="288">
        <v>6</v>
      </c>
      <c r="K6" s="72">
        <v>3</v>
      </c>
      <c r="L6" s="12">
        <f>AVERAGE(H6:K6)</f>
        <v>6</v>
      </c>
    </row>
    <row r="7" spans="1:20" x14ac:dyDescent="0.25">
      <c r="A7" s="287">
        <f>A6+1</f>
        <v>4</v>
      </c>
      <c r="B7" s="62" t="s">
        <v>67</v>
      </c>
      <c r="C7" s="289" t="s">
        <v>74</v>
      </c>
      <c r="D7" s="289" t="s">
        <v>65</v>
      </c>
      <c r="E7" s="54" t="s">
        <v>66</v>
      </c>
      <c r="G7" s="287">
        <f>G6+1</f>
        <v>4</v>
      </c>
      <c r="H7" s="62">
        <v>11</v>
      </c>
      <c r="I7" s="289">
        <v>3</v>
      </c>
      <c r="J7" s="289">
        <v>7</v>
      </c>
      <c r="K7" s="54">
        <v>8</v>
      </c>
      <c r="L7" s="12">
        <f>AVERAGE(H7:K7)</f>
        <v>7.25</v>
      </c>
    </row>
    <row r="8" spans="1:20" x14ac:dyDescent="0.25">
      <c r="A8" s="38">
        <v>1</v>
      </c>
      <c r="B8" s="273">
        <v>4</v>
      </c>
      <c r="C8" s="265">
        <v>2</v>
      </c>
      <c r="D8" s="265">
        <v>5</v>
      </c>
      <c r="E8" s="274">
        <v>7</v>
      </c>
      <c r="G8" s="288"/>
      <c r="H8" s="288">
        <f>AVERAGE(H4:H7)</f>
        <v>5.333333333333333</v>
      </c>
      <c r="I8" s="288">
        <f>AVERAGE(I4:I7)</f>
        <v>5</v>
      </c>
      <c r="J8" s="288">
        <f>AVERAGE(J4:J7)</f>
        <v>6</v>
      </c>
      <c r="K8" s="288">
        <f>AVERAGE(K4:K7)</f>
        <v>5.75</v>
      </c>
      <c r="L8" s="20">
        <f>AVERAGE(L4:L7)</f>
        <v>5.5625</v>
      </c>
    </row>
    <row r="9" spans="1:20" x14ac:dyDescent="0.25">
      <c r="A9" s="287">
        <f>A8+1</f>
        <v>2</v>
      </c>
      <c r="B9" s="115">
        <v>1</v>
      </c>
      <c r="C9" s="288">
        <v>6</v>
      </c>
      <c r="D9" s="288">
        <v>6</v>
      </c>
      <c r="E9" s="72">
        <v>5</v>
      </c>
    </row>
    <row r="10" spans="1:20" x14ac:dyDescent="0.25">
      <c r="A10" s="287">
        <f>A9+1</f>
        <v>3</v>
      </c>
      <c r="B10" s="115"/>
      <c r="C10" s="288">
        <v>9</v>
      </c>
      <c r="D10" s="288">
        <v>6</v>
      </c>
      <c r="E10" s="72">
        <v>3</v>
      </c>
      <c r="H10" s="38" t="s">
        <v>74</v>
      </c>
      <c r="I10" s="38" t="s">
        <v>65</v>
      </c>
      <c r="J10" s="38" t="s">
        <v>66</v>
      </c>
      <c r="K10" s="38" t="s">
        <v>67</v>
      </c>
    </row>
    <row r="11" spans="1:20" x14ac:dyDescent="0.25">
      <c r="A11" s="287">
        <f>A10+1</f>
        <v>4</v>
      </c>
      <c r="B11" s="62">
        <v>11</v>
      </c>
      <c r="C11" s="289">
        <v>3</v>
      </c>
      <c r="D11" s="289">
        <v>7</v>
      </c>
      <c r="E11" s="54">
        <v>8</v>
      </c>
      <c r="H11" s="284">
        <f>AVERAGEIF($B$4:$E$7,H10,$B$8:$E$11)</f>
        <v>4.5</v>
      </c>
      <c r="I11" s="285">
        <f>AVERAGEIF($B$4:$E$7,I10,$B$8:$E$11)</f>
        <v>3.25</v>
      </c>
      <c r="J11" s="285">
        <f>AVERAGEIF($B$4:$E$7,J10,$B$8:$E$11)</f>
        <v>6.333333333333333</v>
      </c>
      <c r="K11" s="286">
        <f>AVERAGEIF($B$4:$E$7,K10,$B$8:$E$11)</f>
        <v>8.25</v>
      </c>
    </row>
    <row r="14" spans="1:20" ht="15.75" thickBot="1" x14ac:dyDescent="0.3">
      <c r="B14" s="287">
        <v>1</v>
      </c>
      <c r="C14" s="287">
        <f>B14+1</f>
        <v>2</v>
      </c>
      <c r="D14" s="287">
        <f>C14+1</f>
        <v>3</v>
      </c>
      <c r="E14" s="287">
        <f>D14+1</f>
        <v>4</v>
      </c>
      <c r="H14" s="287">
        <v>1</v>
      </c>
      <c r="I14" s="287">
        <f>H14+1</f>
        <v>2</v>
      </c>
      <c r="J14" s="287">
        <f>I14+1</f>
        <v>3</v>
      </c>
      <c r="K14" s="287">
        <f>J14+1</f>
        <v>4</v>
      </c>
      <c r="N14" t="s">
        <v>84</v>
      </c>
      <c r="R14" s="287" t="s">
        <v>17</v>
      </c>
      <c r="S14" s="287">
        <v>0.05</v>
      </c>
    </row>
    <row r="15" spans="1:20" ht="15.75" thickTop="1" x14ac:dyDescent="0.25">
      <c r="A15" s="38">
        <v>1</v>
      </c>
      <c r="B15" s="273" t="s">
        <v>74</v>
      </c>
      <c r="C15" s="265" t="s">
        <v>65</v>
      </c>
      <c r="D15" s="265" t="s">
        <v>66</v>
      </c>
      <c r="E15" s="274" t="s">
        <v>67</v>
      </c>
      <c r="G15" s="38">
        <v>1</v>
      </c>
      <c r="H15" s="273">
        <v>4</v>
      </c>
      <c r="I15" s="265">
        <v>2</v>
      </c>
      <c r="J15" s="265">
        <v>5</v>
      </c>
      <c r="K15" s="274">
        <v>7</v>
      </c>
      <c r="L15" s="12">
        <f>AVERAGE(H15:K15)</f>
        <v>4.5</v>
      </c>
      <c r="N15" s="191"/>
      <c r="O15" s="191" t="s">
        <v>76</v>
      </c>
      <c r="P15" s="191" t="s">
        <v>37</v>
      </c>
      <c r="Q15" s="191" t="s">
        <v>78</v>
      </c>
      <c r="R15" s="191" t="s">
        <v>68</v>
      </c>
      <c r="S15" s="191" t="s">
        <v>43</v>
      </c>
      <c r="T15" s="191" t="s">
        <v>111</v>
      </c>
    </row>
    <row r="16" spans="1:20" x14ac:dyDescent="0.25">
      <c r="A16" s="287">
        <f>A15+1</f>
        <v>2</v>
      </c>
      <c r="B16" s="115" t="s">
        <v>65</v>
      </c>
      <c r="C16" s="288" t="s">
        <v>66</v>
      </c>
      <c r="D16" s="288" t="s">
        <v>67</v>
      </c>
      <c r="E16" s="72" t="s">
        <v>74</v>
      </c>
      <c r="G16" s="287">
        <f>G15+1</f>
        <v>2</v>
      </c>
      <c r="H16" s="115">
        <v>1</v>
      </c>
      <c r="I16" s="288">
        <v>6</v>
      </c>
      <c r="J16" s="288">
        <v>6</v>
      </c>
      <c r="K16" s="72">
        <v>5</v>
      </c>
      <c r="L16" s="12">
        <f>AVERAGE(H16:K16)</f>
        <v>4.5</v>
      </c>
      <c r="N16" t="s">
        <v>688</v>
      </c>
      <c r="O16">
        <f>DEVSQ(H22:K22)*(P16+1)</f>
        <v>64.968976056134238</v>
      </c>
      <c r="P16">
        <f>COUNT(B19:B22)-1</f>
        <v>3</v>
      </c>
      <c r="Q16">
        <f>O16/P16</f>
        <v>21.656325352044746</v>
      </c>
      <c r="R16">
        <f>Q16/Q19</f>
        <v>4.7609906238611082</v>
      </c>
      <c r="S16">
        <f>FDIST(R16,P16,P19)</f>
        <v>6.292141671506013E-2</v>
      </c>
      <c r="T16" s="287" t="str">
        <f>IF(S16&lt;S14,"yes","no")</f>
        <v>no</v>
      </c>
    </row>
    <row r="17" spans="1:20" x14ac:dyDescent="0.25">
      <c r="A17" s="287">
        <f>A16+1</f>
        <v>3</v>
      </c>
      <c r="B17" s="115" t="s">
        <v>66</v>
      </c>
      <c r="C17" s="288" t="s">
        <v>67</v>
      </c>
      <c r="D17" s="288" t="s">
        <v>74</v>
      </c>
      <c r="E17" s="72" t="s">
        <v>65</v>
      </c>
      <c r="G17" s="287">
        <f>G16+1</f>
        <v>3</v>
      </c>
      <c r="H17" s="115">
        <f>B21</f>
        <v>9.9236111111111089</v>
      </c>
      <c r="I17" s="288">
        <v>9</v>
      </c>
      <c r="J17" s="288">
        <v>6</v>
      </c>
      <c r="K17" s="72">
        <v>3</v>
      </c>
      <c r="L17" s="12">
        <f>AVERAGE(H17:K17)</f>
        <v>6.9809027777777768</v>
      </c>
      <c r="N17" t="s">
        <v>69</v>
      </c>
      <c r="O17">
        <f>DEVSQ(L15:L18)*(P17+1)</f>
        <v>27.507170500578695</v>
      </c>
      <c r="P17">
        <f>P16</f>
        <v>3</v>
      </c>
      <c r="Q17">
        <f>O17/P17</f>
        <v>9.1690568335262324</v>
      </c>
      <c r="R17">
        <f>Q17/Q19</f>
        <v>2.015752575953349</v>
      </c>
      <c r="S17">
        <f>FDIST(R17,P17,P19)</f>
        <v>0.23038775907492551</v>
      </c>
      <c r="T17" s="287" t="str">
        <f>IF(S17&lt;S14,"yes","no")</f>
        <v>no</v>
      </c>
    </row>
    <row r="18" spans="1:20" x14ac:dyDescent="0.25">
      <c r="A18" s="287">
        <f>A17+1</f>
        <v>4</v>
      </c>
      <c r="B18" s="62" t="s">
        <v>67</v>
      </c>
      <c r="C18" s="289" t="s">
        <v>74</v>
      </c>
      <c r="D18" s="289" t="s">
        <v>65</v>
      </c>
      <c r="E18" s="54" t="s">
        <v>66</v>
      </c>
      <c r="G18" s="287">
        <f>G17+1</f>
        <v>4</v>
      </c>
      <c r="H18" s="62">
        <v>11</v>
      </c>
      <c r="I18" s="289">
        <v>3</v>
      </c>
      <c r="J18" s="289">
        <v>7</v>
      </c>
      <c r="K18" s="54">
        <v>8</v>
      </c>
      <c r="L18" s="12">
        <f>AVERAGE(H18:K18)</f>
        <v>7.25</v>
      </c>
      <c r="N18" t="s">
        <v>70</v>
      </c>
      <c r="O18">
        <f>DEVSQ(H19:K19)*(P18+1)</f>
        <v>4.5835593894675863</v>
      </c>
      <c r="P18">
        <f>P17</f>
        <v>3</v>
      </c>
      <c r="Q18">
        <f>O18/P18</f>
        <v>1.5278531298225289</v>
      </c>
      <c r="R18">
        <f>Q18/Q19</f>
        <v>0.33588775138322824</v>
      </c>
      <c r="S18">
        <f>FDIST(R18,P18,P19)</f>
        <v>0.80089468121273721</v>
      </c>
      <c r="T18" s="287" t="str">
        <f>IF(S18&lt;S14,"yes","no")</f>
        <v>no</v>
      </c>
    </row>
    <row r="19" spans="1:20" x14ac:dyDescent="0.25">
      <c r="A19" s="38">
        <v>1</v>
      </c>
      <c r="B19" s="273">
        <v>4</v>
      </c>
      <c r="C19" s="265">
        <v>2</v>
      </c>
      <c r="D19" s="265">
        <v>5</v>
      </c>
      <c r="E19" s="274">
        <v>7</v>
      </c>
      <c r="G19" s="288"/>
      <c r="H19" s="288">
        <f>AVERAGE(H15:H18)</f>
        <v>6.4809027777777768</v>
      </c>
      <c r="I19" s="288">
        <f>AVERAGE(I15:I18)</f>
        <v>5</v>
      </c>
      <c r="J19" s="288">
        <f>AVERAGE(J15:J18)</f>
        <v>6</v>
      </c>
      <c r="K19" s="288">
        <f>AVERAGE(K15:K18)</f>
        <v>5.75</v>
      </c>
      <c r="L19" s="20">
        <f>AVERAGE(L15:L18)</f>
        <v>5.8077256944444446</v>
      </c>
      <c r="N19" t="s">
        <v>122</v>
      </c>
      <c r="O19">
        <f>O20-SUM(O16:O18)</f>
        <v>22.74350766782409</v>
      </c>
      <c r="P19">
        <f>P16*(P16-1)-1</f>
        <v>5</v>
      </c>
      <c r="Q19">
        <f>O19/P19</f>
        <v>4.5487015335648184</v>
      </c>
    </row>
    <row r="20" spans="1:20" x14ac:dyDescent="0.25">
      <c r="A20" s="287">
        <f>A19+1</f>
        <v>2</v>
      </c>
      <c r="B20" s="115">
        <v>1</v>
      </c>
      <c r="C20" s="288">
        <v>6</v>
      </c>
      <c r="D20" s="288">
        <v>6</v>
      </c>
      <c r="E20" s="72">
        <v>5</v>
      </c>
      <c r="N20" s="185" t="s">
        <v>1</v>
      </c>
      <c r="O20" s="185">
        <f>DEVSQ(H15:K18)</f>
        <v>119.8032136140046</v>
      </c>
      <c r="P20" s="185">
        <f>(P16+1)^2-2</f>
        <v>14</v>
      </c>
      <c r="Q20" s="185">
        <f>O20/P20</f>
        <v>8.5573724010003289</v>
      </c>
      <c r="R20" s="185"/>
      <c r="S20" s="185"/>
      <c r="T20" s="185"/>
    </row>
    <row r="21" spans="1:20" x14ac:dyDescent="0.25">
      <c r="A21" s="287">
        <f>A20+1</f>
        <v>3</v>
      </c>
      <c r="B21" s="107">
        <f>(4*(L6+H8+J11)-2*L8)/((4-1)*(4-2))</f>
        <v>9.9236111111111089</v>
      </c>
      <c r="C21" s="288">
        <v>9</v>
      </c>
      <c r="D21" s="288">
        <v>6</v>
      </c>
      <c r="E21" s="72">
        <v>3</v>
      </c>
      <c r="H21" s="38" t="s">
        <v>74</v>
      </c>
      <c r="I21" s="38" t="s">
        <v>65</v>
      </c>
      <c r="J21" s="38" t="s">
        <v>66</v>
      </c>
      <c r="K21" s="38" t="s">
        <v>67</v>
      </c>
    </row>
    <row r="22" spans="1:20" x14ac:dyDescent="0.25">
      <c r="A22" s="287">
        <f>A21+1</f>
        <v>4</v>
      </c>
      <c r="B22" s="62">
        <v>11</v>
      </c>
      <c r="C22" s="289">
        <v>3</v>
      </c>
      <c r="D22" s="289">
        <v>7</v>
      </c>
      <c r="E22" s="54">
        <v>8</v>
      </c>
      <c r="H22" s="284">
        <f>AVERAGEIF($B$15:$E$18,H21,$B$19:$E$22)</f>
        <v>4.5</v>
      </c>
      <c r="I22" s="285">
        <f>AVERAGEIF($B$15:$E$18,I21,$B$19:$E$22)</f>
        <v>3.25</v>
      </c>
      <c r="J22" s="285">
        <f>AVERAGEIF($B$15:$E$18,J21,$B$19:$E$22)</f>
        <v>7.2309027777777768</v>
      </c>
      <c r="K22" s="286">
        <f>AVERAGEIF($B$15:$E$18,K21,$B$19:$E$22)</f>
        <v>8.25</v>
      </c>
    </row>
  </sheetData>
  <pageMargins left="0.7" right="0.7" top="0.75" bottom="0.75" header="0.3" footer="0.3"/>
  <ignoredErrors>
    <ignoredError sqref="L15" formulaRange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AK19"/>
  <sheetViews>
    <sheetView workbookViewId="0"/>
  </sheetViews>
  <sheetFormatPr defaultRowHeight="15" x14ac:dyDescent="0.25"/>
  <cols>
    <col min="1" max="4" width="6.7109375" customWidth="1"/>
    <col min="6" max="6" width="4.5703125" customWidth="1"/>
    <col min="10" max="10" width="4.5703125" customWidth="1"/>
  </cols>
  <sheetData>
    <row r="1" spans="1:37" ht="15.75" thickBot="1" x14ac:dyDescent="0.3">
      <c r="A1" s="1" t="s">
        <v>690</v>
      </c>
      <c r="G1" t="s">
        <v>12</v>
      </c>
      <c r="K1" t="s">
        <v>667</v>
      </c>
      <c r="S1" t="s">
        <v>692</v>
      </c>
      <c r="AD1" t="s">
        <v>693</v>
      </c>
      <c r="AH1" t="s">
        <v>17</v>
      </c>
      <c r="AI1">
        <v>0.05</v>
      </c>
    </row>
    <row r="2" spans="1:37" ht="15.75" thickTop="1" x14ac:dyDescent="0.25">
      <c r="S2" s="191" t="s">
        <v>825</v>
      </c>
      <c r="T2" s="191" t="s">
        <v>829</v>
      </c>
      <c r="U2" s="191" t="s">
        <v>6</v>
      </c>
      <c r="AD2" s="191" t="s">
        <v>825</v>
      </c>
      <c r="AE2" s="191" t="s">
        <v>6</v>
      </c>
      <c r="AF2" s="191" t="s">
        <v>183</v>
      </c>
      <c r="AG2" s="191" t="s">
        <v>37</v>
      </c>
      <c r="AH2" s="191" t="s">
        <v>113</v>
      </c>
      <c r="AI2" s="191" t="s">
        <v>826</v>
      </c>
    </row>
    <row r="3" spans="1:37" ht="15.75" thickBot="1" x14ac:dyDescent="0.3">
      <c r="A3" s="430" t="s">
        <v>25</v>
      </c>
      <c r="B3" s="430" t="s">
        <v>670</v>
      </c>
      <c r="C3" s="430" t="s">
        <v>671</v>
      </c>
      <c r="D3" s="430" t="s">
        <v>551</v>
      </c>
      <c r="F3" s="368"/>
      <c r="G3" s="368" t="s">
        <v>25</v>
      </c>
      <c r="H3" s="368" t="s">
        <v>670</v>
      </c>
      <c r="I3" s="368" t="s">
        <v>671</v>
      </c>
      <c r="K3" t="s">
        <v>84</v>
      </c>
      <c r="O3" s="368" t="s">
        <v>17</v>
      </c>
      <c r="P3" s="368">
        <v>0.05</v>
      </c>
      <c r="S3" s="423" t="s">
        <v>74</v>
      </c>
      <c r="T3" s="426"/>
      <c r="U3" s="427">
        <f t="array" ref="U3:U6">I4:I7</f>
        <v>4.5</v>
      </c>
      <c r="AD3" s="423" t="s">
        <v>74</v>
      </c>
      <c r="AE3" s="427">
        <f t="array" ref="AE3:AE6">I4:I7</f>
        <v>4.5</v>
      </c>
      <c r="AF3" s="427"/>
      <c r="AG3" s="427"/>
      <c r="AH3" s="427"/>
      <c r="AI3" s="427"/>
    </row>
    <row r="4" spans="1:37" ht="15.75" thickTop="1" x14ac:dyDescent="0.25">
      <c r="A4" s="368">
        <v>1</v>
      </c>
      <c r="B4" s="38">
        <v>1</v>
      </c>
      <c r="C4" s="368" t="s">
        <v>74</v>
      </c>
      <c r="D4" s="368">
        <v>4</v>
      </c>
      <c r="F4">
        <v>1</v>
      </c>
      <c r="G4" s="402">
        <f>AVERAGEIF(A$4:A$19,F4,D$4:D$19)</f>
        <v>4.5</v>
      </c>
      <c r="H4" s="345">
        <f>AVERAGEIF(B$4:B$19,F4,D$4:D$19)</f>
        <v>6</v>
      </c>
      <c r="I4" s="404">
        <f>AVERAGEIF(C$4:C$19,CHAR(F4+64),D$4:D$19)</f>
        <v>4.5</v>
      </c>
      <c r="K4" s="191"/>
      <c r="L4" s="191" t="s">
        <v>76</v>
      </c>
      <c r="M4" s="191" t="s">
        <v>37</v>
      </c>
      <c r="N4" s="191" t="s">
        <v>78</v>
      </c>
      <c r="O4" s="191" t="s">
        <v>68</v>
      </c>
      <c r="P4" s="191" t="s">
        <v>43</v>
      </c>
      <c r="Q4" s="191" t="s">
        <v>111</v>
      </c>
      <c r="S4" s="308" t="s">
        <v>65</v>
      </c>
      <c r="T4" s="257">
        <v>-1</v>
      </c>
      <c r="U4" s="7">
        <v>3.25</v>
      </c>
      <c r="AD4" s="308" t="s">
        <v>65</v>
      </c>
      <c r="AE4" s="7">
        <v>3.25</v>
      </c>
      <c r="AF4" s="7"/>
      <c r="AG4" s="7"/>
      <c r="AH4" s="7"/>
      <c r="AI4" s="7"/>
    </row>
    <row r="5" spans="1:37" x14ac:dyDescent="0.25">
      <c r="A5" s="368">
        <v>1</v>
      </c>
      <c r="B5" s="368">
        <f>B4+1</f>
        <v>2</v>
      </c>
      <c r="C5" s="368" t="s">
        <v>65</v>
      </c>
      <c r="D5" s="368">
        <v>2</v>
      </c>
      <c r="F5">
        <f>F4+1</f>
        <v>2</v>
      </c>
      <c r="G5" s="428">
        <f>AVERAGEIF(A$4:A$19,F5,D$4:D$19)</f>
        <v>4.5</v>
      </c>
      <c r="H5" s="7">
        <f>AVERAGEIF(B$4:B$19,F5,D$4:D$19)</f>
        <v>5</v>
      </c>
      <c r="I5" s="35">
        <f>AVERAGEIF(C$4:C$19,CHAR(F5+64),D$4:D$19)</f>
        <v>3.25</v>
      </c>
      <c r="K5" t="s">
        <v>389</v>
      </c>
      <c r="L5">
        <f>DEVSQ(I4:I7)*(M5+1)</f>
        <v>60.1875</v>
      </c>
      <c r="M5">
        <f>COUNT(I4:I7)-1</f>
        <v>3</v>
      </c>
      <c r="N5">
        <f>L5/M5</f>
        <v>20.0625</v>
      </c>
      <c r="O5">
        <f>N5/N8</f>
        <v>5.7664670658682633</v>
      </c>
      <c r="P5">
        <f>FDIST(O5,M5,M8)</f>
        <v>3.3540115586941324E-2</v>
      </c>
      <c r="Q5" s="368" t="str">
        <f>IF(P5&lt;P3,"yes","no")</f>
        <v>yes</v>
      </c>
      <c r="S5" s="308" t="s">
        <v>66</v>
      </c>
      <c r="T5" s="257">
        <v>1</v>
      </c>
      <c r="U5" s="7">
        <v>6.75</v>
      </c>
      <c r="AD5" s="308" t="s">
        <v>66</v>
      </c>
      <c r="AE5" s="7">
        <v>6.75</v>
      </c>
      <c r="AF5" s="7"/>
      <c r="AG5" s="7"/>
      <c r="AH5" s="7"/>
      <c r="AI5" s="7"/>
    </row>
    <row r="6" spans="1:37" x14ac:dyDescent="0.25">
      <c r="A6" s="368">
        <v>1</v>
      </c>
      <c r="B6" s="368">
        <f>B5+1</f>
        <v>3</v>
      </c>
      <c r="C6" s="368" t="s">
        <v>66</v>
      </c>
      <c r="D6" s="368">
        <v>5</v>
      </c>
      <c r="F6">
        <f>F5+1</f>
        <v>3</v>
      </c>
      <c r="G6" s="428">
        <f>AVERAGEIF(A$4:A$19,F6,D$4:D$19)</f>
        <v>6.5</v>
      </c>
      <c r="H6" s="7">
        <f>AVERAGEIF(B$4:B$19,F6,D$4:D$19)</f>
        <v>6</v>
      </c>
      <c r="I6" s="35">
        <f>AVERAGEIF(C$4:C$19,CHAR(F6+64),D$4:D$19)</f>
        <v>6.75</v>
      </c>
      <c r="K6" t="s">
        <v>69</v>
      </c>
      <c r="L6">
        <f>DEVSQ(G4:G7)*(M6+1)</f>
        <v>23.6875</v>
      </c>
      <c r="M6">
        <f>M5</f>
        <v>3</v>
      </c>
      <c r="N6">
        <f>L6/M6</f>
        <v>7.895833333333333</v>
      </c>
      <c r="O6">
        <f>N6/N8</f>
        <v>2.2694610778443112</v>
      </c>
      <c r="P6">
        <f>FDIST(O6,M6,M8)</f>
        <v>0.18068159246384277</v>
      </c>
      <c r="Q6" s="368" t="str">
        <f>IF(P6&lt;P3,"yes","no")</f>
        <v>no</v>
      </c>
      <c r="S6" s="385" t="s">
        <v>67</v>
      </c>
      <c r="T6" s="355"/>
      <c r="U6" s="353">
        <v>8.25</v>
      </c>
      <c r="AD6" s="385" t="s">
        <v>67</v>
      </c>
      <c r="AE6" s="353">
        <v>8.25</v>
      </c>
      <c r="AF6" s="353"/>
      <c r="AG6" s="353"/>
      <c r="AH6" s="353"/>
      <c r="AI6" s="353"/>
    </row>
    <row r="7" spans="1:37" x14ac:dyDescent="0.25">
      <c r="A7" s="368">
        <v>1</v>
      </c>
      <c r="B7" s="368">
        <f>B6+1</f>
        <v>4</v>
      </c>
      <c r="C7" s="368" t="s">
        <v>67</v>
      </c>
      <c r="D7" s="368">
        <v>7</v>
      </c>
      <c r="F7">
        <f>F6+1</f>
        <v>4</v>
      </c>
      <c r="G7" s="348">
        <f>AVERAGEIF(A$4:A$19,F7,D$4:D$19)</f>
        <v>7.25</v>
      </c>
      <c r="H7" s="183">
        <f>AVERAGEIF(B$4:B$19,F7,D$4:D$19)</f>
        <v>5.75</v>
      </c>
      <c r="I7" s="184">
        <f>AVERAGEIF(C$4:C$19,CHAR(F7+64),D$4:D$19)</f>
        <v>8.25</v>
      </c>
      <c r="K7" t="s">
        <v>123</v>
      </c>
      <c r="L7">
        <f>DEVSQ(H4:H7)*(M7+1)</f>
        <v>2.6875</v>
      </c>
      <c r="M7">
        <f>M5</f>
        <v>3</v>
      </c>
      <c r="N7">
        <f>L7/M7</f>
        <v>0.89583333333333337</v>
      </c>
      <c r="O7">
        <f>N7/N8</f>
        <v>0.25748502994011979</v>
      </c>
      <c r="P7">
        <f>FDIST(O7,M7,M8)</f>
        <v>0.85359994756545676</v>
      </c>
      <c r="Q7" s="368" t="str">
        <f>IF(P7&lt;P3,"yes","no")</f>
        <v>no</v>
      </c>
      <c r="T7">
        <f>SUM(T3:T6)</f>
        <v>0</v>
      </c>
      <c r="U7">
        <f>SUMPRODUCT(T3:T6,U3:U6)</f>
        <v>3.5</v>
      </c>
      <c r="AF7">
        <f>SQRT(N8/(M5+1))</f>
        <v>0.93262622023330799</v>
      </c>
      <c r="AG7">
        <f>M8</f>
        <v>6</v>
      </c>
      <c r="AH7" t="e">
        <f ca="1">QCRIT(COUNT(AE3:AE6),AG7,AI1,2)</f>
        <v>#NAME?</v>
      </c>
      <c r="AI7" t="e">
        <f ca="1">AF7*AH7</f>
        <v>#NAME?</v>
      </c>
    </row>
    <row r="8" spans="1:37" ht="15.75" thickBot="1" x14ac:dyDescent="0.3">
      <c r="A8" s="368">
        <v>2</v>
      </c>
      <c r="B8" s="38">
        <v>1</v>
      </c>
      <c r="C8" s="368" t="s">
        <v>65</v>
      </c>
      <c r="D8" s="368">
        <v>1</v>
      </c>
      <c r="K8" t="s">
        <v>122</v>
      </c>
      <c r="L8">
        <f>L9-SUM(L5:L7)</f>
        <v>20.875</v>
      </c>
      <c r="M8">
        <f>M9-SUM(M5:M7)</f>
        <v>6</v>
      </c>
      <c r="N8">
        <f>L8/M8</f>
        <v>3.4791666666666665</v>
      </c>
      <c r="AD8" t="s">
        <v>498</v>
      </c>
    </row>
    <row r="9" spans="1:37" ht="16.5" thickTop="1" thickBot="1" x14ac:dyDescent="0.3">
      <c r="A9" s="368">
        <v>2</v>
      </c>
      <c r="B9" s="368">
        <f>B8+1</f>
        <v>2</v>
      </c>
      <c r="C9" s="368" t="s">
        <v>66</v>
      </c>
      <c r="D9" s="368">
        <v>6</v>
      </c>
      <c r="K9" s="353" t="s">
        <v>1</v>
      </c>
      <c r="L9" s="353">
        <f>DEVSQ(D4:D19)</f>
        <v>107.4375</v>
      </c>
      <c r="M9" s="353">
        <f>COUNT(D4:D19)-1</f>
        <v>15</v>
      </c>
      <c r="N9" s="353">
        <f>L9/M9</f>
        <v>7.1624999999999996</v>
      </c>
      <c r="O9" s="353"/>
      <c r="P9" s="353"/>
      <c r="Q9" s="353"/>
      <c r="S9" t="s">
        <v>42</v>
      </c>
      <c r="X9" t="s">
        <v>17</v>
      </c>
      <c r="Y9">
        <v>0.05</v>
      </c>
      <c r="AD9" s="191" t="s">
        <v>827</v>
      </c>
      <c r="AE9" s="191" t="s">
        <v>828</v>
      </c>
      <c r="AF9" s="191" t="s">
        <v>6</v>
      </c>
      <c r="AG9" s="191" t="s">
        <v>497</v>
      </c>
      <c r="AH9" s="191" t="s">
        <v>14</v>
      </c>
      <c r="AI9" s="191" t="s">
        <v>15</v>
      </c>
      <c r="AJ9" s="191" t="s">
        <v>43</v>
      </c>
      <c r="AK9" s="191" t="s">
        <v>41</v>
      </c>
    </row>
    <row r="10" spans="1:37" ht="15.75" thickTop="1" x14ac:dyDescent="0.25">
      <c r="A10" s="368">
        <v>2</v>
      </c>
      <c r="B10" s="368">
        <f>B9+1</f>
        <v>3</v>
      </c>
      <c r="C10" s="368" t="s">
        <v>67</v>
      </c>
      <c r="D10" s="368">
        <v>6</v>
      </c>
      <c r="S10" s="191" t="s">
        <v>183</v>
      </c>
      <c r="T10" s="191" t="s">
        <v>53</v>
      </c>
      <c r="U10" s="191" t="s">
        <v>37</v>
      </c>
      <c r="V10" s="191" t="s">
        <v>43</v>
      </c>
      <c r="W10" s="191" t="s">
        <v>44</v>
      </c>
      <c r="X10" s="191" t="s">
        <v>14</v>
      </c>
      <c r="Y10" s="191" t="s">
        <v>15</v>
      </c>
      <c r="Z10" s="191" t="s">
        <v>111</v>
      </c>
      <c r="AA10" s="191" t="s">
        <v>41</v>
      </c>
      <c r="AB10" s="191" t="s">
        <v>192</v>
      </c>
      <c r="AD10" s="427" t="str">
        <f>AD3</f>
        <v>A</v>
      </c>
      <c r="AE10" s="427" t="str">
        <f>AD4</f>
        <v>B</v>
      </c>
      <c r="AF10" s="427">
        <f>ABS(AE3-AE4)</f>
        <v>1.25</v>
      </c>
      <c r="AG10" s="427">
        <f t="shared" ref="AG10:AG15" si="0">AF10/AF$7</f>
        <v>1.3403011548263108</v>
      </c>
      <c r="AH10" s="427" t="e">
        <f t="shared" ref="AH10:AH15" ca="1" si="1">AF10-AI$7</f>
        <v>#NAME?</v>
      </c>
      <c r="AI10" s="427" t="e">
        <f t="shared" ref="AI10:AI15" ca="1" si="2">AF10+AI$7</f>
        <v>#NAME?</v>
      </c>
      <c r="AJ10" s="427" t="e">
        <f ca="1">QDIST(AG10,COUNT(AE$3:AE$6),AG$7)</f>
        <v>#NAME?</v>
      </c>
      <c r="AK10" s="427">
        <f t="shared" ref="AK10:AK15" si="3">AF10/SQRT(N$8)</f>
        <v>0.67015057741315542</v>
      </c>
    </row>
    <row r="11" spans="1:37" x14ac:dyDescent="0.25">
      <c r="A11" s="368">
        <v>2</v>
      </c>
      <c r="B11" s="368">
        <f>B10+1</f>
        <v>4</v>
      </c>
      <c r="C11" s="368" t="s">
        <v>74</v>
      </c>
      <c r="D11" s="368">
        <v>5</v>
      </c>
      <c r="S11" s="431">
        <f>SQRT(N8*SUMSQ(T3:T6)/(M5+1))</f>
        <v>1.3189326492787012</v>
      </c>
      <c r="T11" s="431">
        <f>U7/S11</f>
        <v>2.6536608991475661</v>
      </c>
      <c r="U11" s="431">
        <f>M8</f>
        <v>6</v>
      </c>
      <c r="V11" s="431">
        <f>TDIST(ABS(T11),U11,2)</f>
        <v>3.7843057255718161E-2</v>
      </c>
      <c r="W11" s="431">
        <f>TINV(Y9,U11)</f>
        <v>2.4469118511449697</v>
      </c>
      <c r="X11" s="431">
        <f>U7-S11*W11</f>
        <v>0.27268806961791414</v>
      </c>
      <c r="Y11" s="431">
        <f>U7+S11*W11</f>
        <v>6.7273119303820863</v>
      </c>
      <c r="Z11" s="430" t="str">
        <f>IF(V11&lt;Y9,"yes","no")</f>
        <v>yes</v>
      </c>
      <c r="AA11" s="431">
        <f>ABS(U7)/SQRT(N8)</f>
        <v>1.8764216167568353</v>
      </c>
      <c r="AB11" s="431">
        <f>SQRT(T11^2/(T11^2+U11))</f>
        <v>0.73480943351406913</v>
      </c>
      <c r="AD11" s="7" t="str">
        <f>AD3</f>
        <v>A</v>
      </c>
      <c r="AE11" s="7" t="str">
        <f>AD5</f>
        <v>C</v>
      </c>
      <c r="AF11" s="7">
        <f>ABS(AE3-AE5)</f>
        <v>2.25</v>
      </c>
      <c r="AG11" s="7">
        <f t="shared" si="0"/>
        <v>2.4125420786873595</v>
      </c>
      <c r="AH11" s="7" t="e">
        <f t="shared" ca="1" si="1"/>
        <v>#NAME?</v>
      </c>
      <c r="AI11" s="7" t="e">
        <f t="shared" ca="1" si="2"/>
        <v>#NAME?</v>
      </c>
      <c r="AJ11" s="7" t="e">
        <f ca="1">QDIST(AG11,COUNT(AE$3:AE$6),AG$7)</f>
        <v>#NAME?</v>
      </c>
      <c r="AK11" s="7">
        <f t="shared" si="3"/>
        <v>1.2062710393436797</v>
      </c>
    </row>
    <row r="12" spans="1:37" x14ac:dyDescent="0.25">
      <c r="A12" s="368">
        <v>3</v>
      </c>
      <c r="B12" s="38">
        <v>1</v>
      </c>
      <c r="C12" s="368" t="s">
        <v>66</v>
      </c>
      <c r="D12" s="368">
        <v>8</v>
      </c>
      <c r="AD12" s="7" t="str">
        <f>AD3</f>
        <v>A</v>
      </c>
      <c r="AE12" s="7" t="str">
        <f>AD6</f>
        <v>D</v>
      </c>
      <c r="AF12" s="7">
        <f>ABS(AE3-AE6)</f>
        <v>3.75</v>
      </c>
      <c r="AG12" s="7">
        <f t="shared" si="0"/>
        <v>4.0209034644789323</v>
      </c>
      <c r="AH12" s="7" t="e">
        <f t="shared" ca="1" si="1"/>
        <v>#NAME?</v>
      </c>
      <c r="AI12" s="7" t="e">
        <f t="shared" ca="1" si="2"/>
        <v>#NAME?</v>
      </c>
      <c r="AJ12" s="7" t="e">
        <f ca="1">QDIST(AG12,COUNT(AE$3:AE$6),AG$7)</f>
        <v>#NAME?</v>
      </c>
      <c r="AK12" s="7">
        <f t="shared" si="3"/>
        <v>2.0104517322394662</v>
      </c>
    </row>
    <row r="13" spans="1:37" x14ac:dyDescent="0.25">
      <c r="A13" s="368">
        <v>3</v>
      </c>
      <c r="B13" s="368">
        <f>B12+1</f>
        <v>2</v>
      </c>
      <c r="C13" s="368" t="s">
        <v>67</v>
      </c>
      <c r="D13" s="368">
        <v>9</v>
      </c>
      <c r="AD13" s="7" t="str">
        <f>AD4</f>
        <v>B</v>
      </c>
      <c r="AE13" s="7" t="str">
        <f>AD5</f>
        <v>C</v>
      </c>
      <c r="AF13" s="7">
        <f>ABS(AE4-AE5)</f>
        <v>3.5</v>
      </c>
      <c r="AG13" s="7">
        <f t="shared" si="0"/>
        <v>3.7528432335136706</v>
      </c>
      <c r="AH13" s="7" t="e">
        <f t="shared" ca="1" si="1"/>
        <v>#NAME?</v>
      </c>
      <c r="AI13" s="7" t="e">
        <f t="shared" ca="1" si="2"/>
        <v>#NAME?</v>
      </c>
      <c r="AJ13" s="7" t="e">
        <f ca="1">QDIST(AG13,COUNT(AE$3:AE$6),AG$7)</f>
        <v>#NAME?</v>
      </c>
      <c r="AK13" s="7">
        <f t="shared" si="3"/>
        <v>1.8764216167568353</v>
      </c>
    </row>
    <row r="14" spans="1:37" x14ac:dyDescent="0.25">
      <c r="A14" s="368">
        <v>3</v>
      </c>
      <c r="B14" s="368">
        <f>B13+1</f>
        <v>3</v>
      </c>
      <c r="C14" s="368" t="s">
        <v>74</v>
      </c>
      <c r="D14" s="368">
        <v>6</v>
      </c>
      <c r="AD14" s="7" t="str">
        <f>AD4</f>
        <v>B</v>
      </c>
      <c r="AE14" s="7" t="str">
        <f>AD6</f>
        <v>D</v>
      </c>
      <c r="AF14" s="7">
        <f>ABS(AE4-AE6)</f>
        <v>5</v>
      </c>
      <c r="AG14" s="7">
        <f t="shared" si="0"/>
        <v>5.3612046193052434</v>
      </c>
      <c r="AH14" s="7" t="e">
        <f t="shared" ca="1" si="1"/>
        <v>#NAME?</v>
      </c>
      <c r="AI14" s="7" t="e">
        <f t="shared" ca="1" si="2"/>
        <v>#NAME?</v>
      </c>
      <c r="AJ14" s="7" t="e">
        <f ca="1">QDIST(AG14,COUNT(AE$3:AE$6),AG$7)</f>
        <v>#NAME?</v>
      </c>
      <c r="AK14" s="7">
        <f t="shared" si="3"/>
        <v>2.6806023096526217</v>
      </c>
    </row>
    <row r="15" spans="1:37" x14ac:dyDescent="0.25">
      <c r="A15" s="368">
        <v>3</v>
      </c>
      <c r="B15" s="368">
        <f>B14+1</f>
        <v>4</v>
      </c>
      <c r="C15" s="368" t="s">
        <v>65</v>
      </c>
      <c r="D15" s="368">
        <v>3</v>
      </c>
      <c r="AD15" s="353" t="str">
        <f>AD5</f>
        <v>C</v>
      </c>
      <c r="AE15" s="353" t="str">
        <f>AD6</f>
        <v>D</v>
      </c>
      <c r="AF15" s="353">
        <f>ABS(AE5-AE6)</f>
        <v>1.5</v>
      </c>
      <c r="AG15" s="353">
        <f t="shared" si="0"/>
        <v>1.6083613857915731</v>
      </c>
      <c r="AH15" s="353" t="e">
        <f t="shared" ca="1" si="1"/>
        <v>#NAME?</v>
      </c>
      <c r="AI15" s="353" t="e">
        <f t="shared" ca="1" si="2"/>
        <v>#NAME?</v>
      </c>
      <c r="AJ15" s="353" t="e">
        <f ca="1">QDIST(AG15,COUNT(AE$3:AE$6),AG$7)</f>
        <v>#NAME?</v>
      </c>
      <c r="AK15" s="353">
        <f t="shared" si="3"/>
        <v>0.80418069289578653</v>
      </c>
    </row>
    <row r="16" spans="1:37" x14ac:dyDescent="0.25">
      <c r="A16" s="368">
        <v>4</v>
      </c>
      <c r="B16" s="38">
        <v>1</v>
      </c>
      <c r="C16" s="368" t="s">
        <v>67</v>
      </c>
      <c r="D16" s="368">
        <v>11</v>
      </c>
    </row>
    <row r="17" spans="1:4" x14ac:dyDescent="0.25">
      <c r="A17" s="368">
        <v>4</v>
      </c>
      <c r="B17" s="368">
        <f>B16+1</f>
        <v>2</v>
      </c>
      <c r="C17" s="368" t="s">
        <v>74</v>
      </c>
      <c r="D17" s="368">
        <v>3</v>
      </c>
    </row>
    <row r="18" spans="1:4" x14ac:dyDescent="0.25">
      <c r="A18" s="368">
        <v>4</v>
      </c>
      <c r="B18" s="368">
        <f>B17+1</f>
        <v>3</v>
      </c>
      <c r="C18" s="368" t="s">
        <v>65</v>
      </c>
      <c r="D18" s="368">
        <v>7</v>
      </c>
    </row>
    <row r="19" spans="1:4" x14ac:dyDescent="0.25">
      <c r="A19" s="385">
        <v>4</v>
      </c>
      <c r="B19" s="385">
        <f>B18+1</f>
        <v>4</v>
      </c>
      <c r="C19" s="385" t="s">
        <v>66</v>
      </c>
      <c r="D19" s="385">
        <v>8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AM30"/>
  <sheetViews>
    <sheetView workbookViewId="0">
      <selection activeCell="N9" sqref="N9"/>
    </sheetView>
  </sheetViews>
  <sheetFormatPr defaultRowHeight="15" x14ac:dyDescent="0.25"/>
  <cols>
    <col min="1" max="1" width="6.7109375" style="290" customWidth="1"/>
    <col min="2" max="5" width="6.7109375" style="368" customWidth="1"/>
    <col min="6" max="6" width="5.140625" customWidth="1"/>
    <col min="7" max="7" width="4.7109375" customWidth="1"/>
    <col min="13" max="13" width="12" customWidth="1"/>
  </cols>
  <sheetData>
    <row r="1" spans="1:39" ht="15.75" thickBot="1" x14ac:dyDescent="0.3">
      <c r="A1" s="1" t="s">
        <v>691</v>
      </c>
      <c r="H1" t="s">
        <v>12</v>
      </c>
      <c r="M1" t="s">
        <v>667</v>
      </c>
      <c r="U1" t="s">
        <v>692</v>
      </c>
      <c r="AF1" t="s">
        <v>693</v>
      </c>
      <c r="AJ1" t="s">
        <v>17</v>
      </c>
      <c r="AK1">
        <v>0.05</v>
      </c>
    </row>
    <row r="2" spans="1:39" ht="15.75" thickTop="1" x14ac:dyDescent="0.25">
      <c r="U2" s="191" t="s">
        <v>825</v>
      </c>
      <c r="V2" s="191" t="s">
        <v>829</v>
      </c>
      <c r="W2" s="191" t="s">
        <v>6</v>
      </c>
      <c r="AF2" s="191" t="s">
        <v>825</v>
      </c>
      <c r="AG2" s="191" t="s">
        <v>6</v>
      </c>
      <c r="AH2" s="191" t="s">
        <v>183</v>
      </c>
      <c r="AI2" s="191" t="s">
        <v>37</v>
      </c>
      <c r="AJ2" s="191" t="s">
        <v>113</v>
      </c>
      <c r="AK2" s="191" t="s">
        <v>826</v>
      </c>
    </row>
    <row r="3" spans="1:39" ht="15.75" thickBot="1" x14ac:dyDescent="0.3">
      <c r="A3" s="290" t="s">
        <v>694</v>
      </c>
      <c r="B3" s="368" t="s">
        <v>25</v>
      </c>
      <c r="C3" s="368" t="s">
        <v>670</v>
      </c>
      <c r="D3" s="368" t="s">
        <v>671</v>
      </c>
      <c r="E3" s="368" t="s">
        <v>551</v>
      </c>
      <c r="G3" s="368"/>
      <c r="H3" s="368" t="s">
        <v>694</v>
      </c>
      <c r="I3" s="368" t="s">
        <v>25</v>
      </c>
      <c r="J3" s="368" t="s">
        <v>670</v>
      </c>
      <c r="K3" s="368" t="s">
        <v>671</v>
      </c>
      <c r="M3" t="s">
        <v>84</v>
      </c>
      <c r="Q3" s="368" t="s">
        <v>17</v>
      </c>
      <c r="R3" s="368">
        <v>0.05</v>
      </c>
      <c r="U3" s="423" t="s">
        <v>74</v>
      </c>
      <c r="V3" s="426">
        <v>-0.5</v>
      </c>
      <c r="W3" s="427">
        <f t="array" ref="W3:W5">K4:K6</f>
        <v>7.4444444444444446</v>
      </c>
      <c r="AF3" s="423" t="s">
        <v>74</v>
      </c>
      <c r="AG3" s="427">
        <f t="array" ref="AG3:AG5">K4:K6</f>
        <v>7.4444444444444446</v>
      </c>
      <c r="AH3" s="427"/>
      <c r="AI3" s="427"/>
      <c r="AJ3" s="427"/>
      <c r="AK3" s="427"/>
    </row>
    <row r="4" spans="1:39" ht="15.75" thickTop="1" x14ac:dyDescent="0.25">
      <c r="A4" s="436">
        <v>1</v>
      </c>
      <c r="B4" s="423">
        <v>1</v>
      </c>
      <c r="C4" s="423">
        <v>1</v>
      </c>
      <c r="D4" s="423" t="s">
        <v>74</v>
      </c>
      <c r="E4" s="433">
        <v>11</v>
      </c>
      <c r="G4">
        <v>1</v>
      </c>
      <c r="H4" s="402">
        <f>AVERAGEIF(A$4:A$30,G4,E$4:E$30)</f>
        <v>8.4444444444444446</v>
      </c>
      <c r="I4" s="345">
        <f>AVERAGEIF(B$4:B$30,G4,E$4:E$30)</f>
        <v>11.444444444444445</v>
      </c>
      <c r="J4" s="345">
        <f>AVERAGEIF(C$4:C$30,G4,E$4:E$30)</f>
        <v>10.111111111111111</v>
      </c>
      <c r="K4" s="404">
        <f>AVERAGEIF(D$4:D$30,CHAR(G4+64),E$4:E$30)</f>
        <v>7.4444444444444446</v>
      </c>
      <c r="M4" s="191"/>
      <c r="N4" s="191" t="s">
        <v>76</v>
      </c>
      <c r="O4" s="191" t="s">
        <v>37</v>
      </c>
      <c r="P4" s="191" t="s">
        <v>78</v>
      </c>
      <c r="Q4" s="191" t="s">
        <v>68</v>
      </c>
      <c r="R4" s="191" t="s">
        <v>43</v>
      </c>
      <c r="S4" s="191" t="s">
        <v>111</v>
      </c>
      <c r="U4" s="308" t="s">
        <v>65</v>
      </c>
      <c r="V4" s="257">
        <v>-0.5</v>
      </c>
      <c r="W4" s="7">
        <v>8.6666666666666661</v>
      </c>
      <c r="AF4" s="308" t="s">
        <v>65</v>
      </c>
      <c r="AG4" s="7">
        <v>8.6666666666666661</v>
      </c>
      <c r="AH4" s="7"/>
      <c r="AI4" s="7"/>
      <c r="AJ4" s="7"/>
      <c r="AK4" s="7"/>
    </row>
    <row r="5" spans="1:39" x14ac:dyDescent="0.25">
      <c r="A5" s="435">
        <v>1</v>
      </c>
      <c r="B5" s="308">
        <v>1</v>
      </c>
      <c r="C5" s="308">
        <v>2</v>
      </c>
      <c r="D5" s="308" t="s">
        <v>65</v>
      </c>
      <c r="E5" s="72">
        <v>12</v>
      </c>
      <c r="G5">
        <f>G4+1</f>
        <v>2</v>
      </c>
      <c r="H5" s="428">
        <f>AVERAGEIF(A$4:A$30,G5,E$4:E$30)</f>
        <v>9.1111111111111107</v>
      </c>
      <c r="I5" s="7">
        <f>AVERAGEIF(B$4:B$30,G5,E$4:E$30)</f>
        <v>7.666666666666667</v>
      </c>
      <c r="J5" s="7">
        <f>AVERAGEIF(C$4:C$30,G5,E$4:E$30)</f>
        <v>7.5555555555555554</v>
      </c>
      <c r="K5" s="35">
        <f>AVERAGEIF(D$4:D$30,CHAR(G5+64),E$4:E$30)</f>
        <v>8.6666666666666661</v>
      </c>
      <c r="M5" t="s">
        <v>389</v>
      </c>
      <c r="N5">
        <f>DEVSQ(K4:K6)*(O5+1)*(O8+1)</f>
        <v>75.629629629629648</v>
      </c>
      <c r="O5">
        <f>COUNT(K4:K6)-1</f>
        <v>2</v>
      </c>
      <c r="P5">
        <f t="shared" ref="P5:P10" si="0">N5/O5</f>
        <v>37.814814814814824</v>
      </c>
      <c r="Q5">
        <f>P5/P9</f>
        <v>5.6827458256029706</v>
      </c>
      <c r="R5">
        <f>FDIST(Q5,O5,O9)</f>
        <v>1.2215663426526935E-2</v>
      </c>
      <c r="S5" s="368" t="str">
        <f>IF(R5&lt;R3,"yes","no")</f>
        <v>yes</v>
      </c>
      <c r="U5" s="385" t="s">
        <v>66</v>
      </c>
      <c r="V5" s="355">
        <v>1</v>
      </c>
      <c r="W5" s="353">
        <v>11.444444444444445</v>
      </c>
      <c r="AF5" s="385" t="s">
        <v>66</v>
      </c>
      <c r="AG5" s="353">
        <v>11.444444444444445</v>
      </c>
      <c r="AH5" s="353"/>
      <c r="AI5" s="353"/>
      <c r="AJ5" s="353"/>
      <c r="AK5" s="353"/>
    </row>
    <row r="6" spans="1:39" x14ac:dyDescent="0.25">
      <c r="A6" s="291">
        <v>1</v>
      </c>
      <c r="B6" s="385">
        <v>1</v>
      </c>
      <c r="C6" s="385">
        <v>3</v>
      </c>
      <c r="D6" s="385" t="s">
        <v>66</v>
      </c>
      <c r="E6" s="54">
        <v>15</v>
      </c>
      <c r="G6">
        <f>G5+1</f>
        <v>3</v>
      </c>
      <c r="H6" s="348">
        <f>AVERAGEIF(A$4:A$30,G6,E$4:E$30)</f>
        <v>10</v>
      </c>
      <c r="I6" s="183">
        <f>AVERAGEIF(B$4:B$30,G6,E$4:E$30)</f>
        <v>8.4444444444444446</v>
      </c>
      <c r="J6" s="183">
        <f>AVERAGEIF(C$4:C$30,G6,E$4:E$30)</f>
        <v>9.8888888888888893</v>
      </c>
      <c r="K6" s="184">
        <f>AVERAGEIF(D$4:D$30,CHAR(G6+64),E$4:E$30)</f>
        <v>11.444444444444445</v>
      </c>
      <c r="M6" t="s">
        <v>69</v>
      </c>
      <c r="N6">
        <f>DEVSQ(I4:I6)*(O6+1)*(O8+1)</f>
        <v>71.629629629629619</v>
      </c>
      <c r="O6">
        <f>O5</f>
        <v>2</v>
      </c>
      <c r="P6">
        <f t="shared" si="0"/>
        <v>35.81481481481481</v>
      </c>
      <c r="Q6">
        <f>P6/P9</f>
        <v>5.3821892393320958</v>
      </c>
      <c r="R6">
        <f>FDIST(Q6,O6,O9)</f>
        <v>1.4714909493731844E-2</v>
      </c>
      <c r="S6" s="368" t="str">
        <f>IF(R6&lt;R3,"yes","no")</f>
        <v>yes</v>
      </c>
      <c r="V6">
        <f>SUM(V3:V5)</f>
        <v>0</v>
      </c>
      <c r="W6">
        <f>SUMPRODUCT(V3:V5,W3:W5)</f>
        <v>3.3888888888888893</v>
      </c>
      <c r="AH6">
        <f>SQRT(P9/((O5+1)*(O6+1)))</f>
        <v>0.85986568638843697</v>
      </c>
      <c r="AI6">
        <f>O9</f>
        <v>18</v>
      </c>
      <c r="AJ6" t="e">
        <f ca="1">QCRIT(COUNT(AG3:AG5),AI6,AK1,2)</f>
        <v>#NAME?</v>
      </c>
      <c r="AK6" t="e">
        <f ca="1">AH6*AJ6</f>
        <v>#NAME?</v>
      </c>
    </row>
    <row r="7" spans="1:39" ht="15.75" thickBot="1" x14ac:dyDescent="0.3">
      <c r="A7" s="436">
        <v>1</v>
      </c>
      <c r="B7" s="423">
        <v>2</v>
      </c>
      <c r="C7" s="423">
        <v>1</v>
      </c>
      <c r="D7" s="423" t="s">
        <v>65</v>
      </c>
      <c r="E7" s="433">
        <v>8</v>
      </c>
      <c r="M7" t="s">
        <v>123</v>
      </c>
      <c r="N7">
        <f>DEVSQ(J4:J6)*(O7+1)*(O8+1)</f>
        <v>36.074074074074076</v>
      </c>
      <c r="O7">
        <f>O5</f>
        <v>2</v>
      </c>
      <c r="P7">
        <f t="shared" si="0"/>
        <v>18.037037037037038</v>
      </c>
      <c r="Q7">
        <f>P7/P9</f>
        <v>2.710575139146568</v>
      </c>
      <c r="R7">
        <f>FDIST(Q7,O7,O9)</f>
        <v>9.3535949633576865E-2</v>
      </c>
      <c r="S7" s="368" t="str">
        <f>IF(R7&lt;R3,"yes","no")</f>
        <v>no</v>
      </c>
      <c r="AF7" t="s">
        <v>498</v>
      </c>
    </row>
    <row r="8" spans="1:39" ht="16.5" thickTop="1" thickBot="1" x14ac:dyDescent="0.3">
      <c r="A8" s="435">
        <v>1</v>
      </c>
      <c r="B8" s="308">
        <v>2</v>
      </c>
      <c r="C8" s="308">
        <v>2</v>
      </c>
      <c r="D8" s="308" t="s">
        <v>66</v>
      </c>
      <c r="E8" s="72">
        <v>7</v>
      </c>
      <c r="M8" t="s">
        <v>695</v>
      </c>
      <c r="N8">
        <f>DEVSQ(H4:H6)*(O5+1)^2</f>
        <v>10.962962962962962</v>
      </c>
      <c r="O8">
        <f>COUNT(H4:H6)-1</f>
        <v>2</v>
      </c>
      <c r="P8">
        <f t="shared" si="0"/>
        <v>5.481481481481481</v>
      </c>
      <c r="Q8">
        <f>P8/P9</f>
        <v>0.82374768089053807</v>
      </c>
      <c r="R8">
        <f>FDIST(Q8,O8,O9)</f>
        <v>0.4546610930031918</v>
      </c>
      <c r="S8" s="368" t="str">
        <f>IF(R8&lt;R3,"yes","no")</f>
        <v>no</v>
      </c>
      <c r="U8" t="s">
        <v>42</v>
      </c>
      <c r="Z8" t="s">
        <v>17</v>
      </c>
      <c r="AA8">
        <v>0.05</v>
      </c>
      <c r="AF8" s="191" t="s">
        <v>827</v>
      </c>
      <c r="AG8" s="191" t="s">
        <v>828</v>
      </c>
      <c r="AH8" s="191" t="s">
        <v>6</v>
      </c>
      <c r="AI8" s="191" t="s">
        <v>497</v>
      </c>
      <c r="AJ8" s="191" t="s">
        <v>14</v>
      </c>
      <c r="AK8" s="191" t="s">
        <v>15</v>
      </c>
      <c r="AL8" s="191" t="s">
        <v>43</v>
      </c>
      <c r="AM8" s="191" t="s">
        <v>41</v>
      </c>
    </row>
    <row r="9" spans="1:39" ht="15.75" thickTop="1" x14ac:dyDescent="0.25">
      <c r="A9" s="291">
        <v>1</v>
      </c>
      <c r="B9" s="385">
        <v>2</v>
      </c>
      <c r="C9" s="385">
        <v>3</v>
      </c>
      <c r="D9" s="385" t="s">
        <v>74</v>
      </c>
      <c r="E9" s="54">
        <v>5</v>
      </c>
      <c r="M9" t="s">
        <v>122</v>
      </c>
      <c r="N9">
        <f>N10-SUM(N5:N8)</f>
        <v>119.77777777777777</v>
      </c>
      <c r="O9">
        <f>O10-SUM(O5:O8)</f>
        <v>18</v>
      </c>
      <c r="P9">
        <f t="shared" si="0"/>
        <v>6.6543209876543203</v>
      </c>
      <c r="U9" s="191" t="s">
        <v>183</v>
      </c>
      <c r="V9" s="191" t="s">
        <v>53</v>
      </c>
      <c r="W9" s="191" t="s">
        <v>37</v>
      </c>
      <c r="X9" s="191" t="s">
        <v>43</v>
      </c>
      <c r="Y9" s="191" t="s">
        <v>44</v>
      </c>
      <c r="Z9" s="191" t="s">
        <v>14</v>
      </c>
      <c r="AA9" s="191" t="s">
        <v>15</v>
      </c>
      <c r="AB9" s="191" t="s">
        <v>111</v>
      </c>
      <c r="AC9" s="191" t="s">
        <v>41</v>
      </c>
      <c r="AD9" s="191" t="s">
        <v>192</v>
      </c>
      <c r="AF9" s="423" t="str">
        <f>AF3</f>
        <v>A</v>
      </c>
      <c r="AG9" s="423" t="str">
        <f>AF4</f>
        <v>B</v>
      </c>
      <c r="AH9" s="427">
        <f>ABS(AG3-AG4)</f>
        <v>1.2222222222222214</v>
      </c>
      <c r="AI9" s="427">
        <f>AH9/AH$6</f>
        <v>1.4214106244380276</v>
      </c>
      <c r="AJ9" s="427" t="e">
        <f ca="1">AH9-AK$6</f>
        <v>#NAME?</v>
      </c>
      <c r="AK9" s="427" t="e">
        <f ca="1">AH9+AK$6</f>
        <v>#NAME?</v>
      </c>
      <c r="AL9" s="427" t="e">
        <f ca="1">QDIST(AI9,COUNT(AG$3:AG$5),AI$6)</f>
        <v>#NAME?</v>
      </c>
      <c r="AM9" s="427">
        <f>AH9/SQRT(P$9)</f>
        <v>0.4738035414793425</v>
      </c>
    </row>
    <row r="10" spans="1:39" x14ac:dyDescent="0.25">
      <c r="A10" s="436">
        <v>1</v>
      </c>
      <c r="B10" s="423">
        <v>3</v>
      </c>
      <c r="C10" s="423">
        <v>1</v>
      </c>
      <c r="D10" s="423" t="s">
        <v>66</v>
      </c>
      <c r="E10" s="433">
        <v>9</v>
      </c>
      <c r="M10" s="353" t="s">
        <v>1</v>
      </c>
      <c r="N10" s="353">
        <f>DEVSQ(E4:E30)</f>
        <v>314.07407407407408</v>
      </c>
      <c r="O10" s="353">
        <f>COUNT(E4:E30)-1</f>
        <v>26</v>
      </c>
      <c r="P10" s="353">
        <f t="shared" si="0"/>
        <v>12.079772079772081</v>
      </c>
      <c r="Q10" s="353"/>
      <c r="R10" s="353"/>
      <c r="S10" s="353"/>
      <c r="U10" s="431">
        <f>SQRT(P9*SUMSQ(V3:V5)/((O5+1)*(O6+1)))</f>
        <v>1.0531160894898466</v>
      </c>
      <c r="V10" s="431">
        <f>W6/U10</f>
        <v>3.217963264173985</v>
      </c>
      <c r="W10" s="431">
        <f>O9</f>
        <v>18</v>
      </c>
      <c r="X10" s="431">
        <f>TDIST(ABS(V10),W10,2)</f>
        <v>4.7702713444299659E-3</v>
      </c>
      <c r="Y10" s="431">
        <f>TINV(AA8,W10)</f>
        <v>2.1009220402410378</v>
      </c>
      <c r="Z10" s="431">
        <f>W6-U10*Y10</f>
        <v>1.1763740855472173</v>
      </c>
      <c r="AA10" s="431">
        <f>W6+U10*Y10</f>
        <v>5.6014036922305612</v>
      </c>
      <c r="AB10" s="430" t="str">
        <f>IF(X10&lt;AA8,"yes","no")</f>
        <v>yes</v>
      </c>
      <c r="AC10" s="431">
        <f>ABS(W6)/SQRT(P9)</f>
        <v>1.3137280013745416</v>
      </c>
      <c r="AD10" s="431">
        <f>SQRT(V10^2/(V10^2+W10))</f>
        <v>0.60431594575409697</v>
      </c>
      <c r="AF10" s="308" t="str">
        <f>AF3</f>
        <v>A</v>
      </c>
      <c r="AG10" s="308" t="str">
        <f>AF5</f>
        <v>C</v>
      </c>
      <c r="AH10" s="7">
        <f>ABS(AG3-AG5)</f>
        <v>4</v>
      </c>
      <c r="AI10" s="7">
        <f>AH10/AH$6</f>
        <v>4.6518893163426389</v>
      </c>
      <c r="AJ10" s="7" t="e">
        <f ca="1">AH10-AK$6</f>
        <v>#NAME?</v>
      </c>
      <c r="AK10" s="7" t="e">
        <f ca="1">AH10+AK$6</f>
        <v>#NAME?</v>
      </c>
      <c r="AL10" s="7" t="e">
        <f ca="1">QDIST(AI10,COUNT(AG$3:AG$5),AI$6)</f>
        <v>#NAME?</v>
      </c>
      <c r="AM10" s="7">
        <f>AH10/SQRT(P$9)</f>
        <v>1.5506297721142128</v>
      </c>
    </row>
    <row r="11" spans="1:39" x14ac:dyDescent="0.25">
      <c r="A11" s="435">
        <v>1</v>
      </c>
      <c r="B11" s="308">
        <v>3</v>
      </c>
      <c r="C11" s="308">
        <v>2</v>
      </c>
      <c r="D11" s="308" t="s">
        <v>74</v>
      </c>
      <c r="E11" s="72">
        <v>3</v>
      </c>
      <c r="AF11" s="385" t="str">
        <f>AF4</f>
        <v>B</v>
      </c>
      <c r="AG11" s="385" t="str">
        <f>AF5</f>
        <v>C</v>
      </c>
      <c r="AH11" s="353">
        <f>ABS(AG4-AG5)</f>
        <v>2.7777777777777786</v>
      </c>
      <c r="AI11" s="353">
        <f>AH11/AH$6</f>
        <v>3.2304786919046111</v>
      </c>
      <c r="AJ11" s="353" t="e">
        <f ca="1">AH11-AK$6</f>
        <v>#NAME?</v>
      </c>
      <c r="AK11" s="353" t="e">
        <f ca="1">AH11+AK$6</f>
        <v>#NAME?</v>
      </c>
      <c r="AL11" s="353" t="e">
        <f ca="1">QDIST(AI11,COUNT(AG$3:AG$5),AI$6)</f>
        <v>#NAME?</v>
      </c>
      <c r="AM11" s="353">
        <f>AH11/SQRT(P$9)</f>
        <v>1.0768262306348704</v>
      </c>
    </row>
    <row r="12" spans="1:39" x14ac:dyDescent="0.25">
      <c r="A12" s="291">
        <v>1</v>
      </c>
      <c r="B12" s="385">
        <v>3</v>
      </c>
      <c r="C12" s="385">
        <v>3</v>
      </c>
      <c r="D12" s="385" t="s">
        <v>65</v>
      </c>
      <c r="E12" s="54">
        <v>6</v>
      </c>
    </row>
    <row r="13" spans="1:39" x14ac:dyDescent="0.25">
      <c r="A13" s="436">
        <v>2</v>
      </c>
      <c r="B13" s="423">
        <v>1</v>
      </c>
      <c r="C13" s="423">
        <v>1</v>
      </c>
      <c r="D13" s="423" t="s">
        <v>66</v>
      </c>
      <c r="E13" s="433">
        <v>13</v>
      </c>
    </row>
    <row r="14" spans="1:39" x14ac:dyDescent="0.25">
      <c r="A14" s="435">
        <v>2</v>
      </c>
      <c r="B14" s="308">
        <v>1</v>
      </c>
      <c r="C14" s="308">
        <v>2</v>
      </c>
      <c r="D14" s="308" t="s">
        <v>65</v>
      </c>
      <c r="E14" s="72">
        <v>5</v>
      </c>
    </row>
    <row r="15" spans="1:39" x14ac:dyDescent="0.25">
      <c r="A15" s="291">
        <v>2</v>
      </c>
      <c r="B15" s="385">
        <v>1</v>
      </c>
      <c r="C15" s="385">
        <v>3</v>
      </c>
      <c r="D15" s="385" t="s">
        <v>74</v>
      </c>
      <c r="E15" s="54">
        <v>10</v>
      </c>
    </row>
    <row r="16" spans="1:39" x14ac:dyDescent="0.25">
      <c r="A16" s="436">
        <v>2</v>
      </c>
      <c r="B16" s="423">
        <v>2</v>
      </c>
      <c r="C16" s="423">
        <v>1</v>
      </c>
      <c r="D16" s="423" t="s">
        <v>65</v>
      </c>
      <c r="E16" s="433">
        <v>9</v>
      </c>
    </row>
    <row r="17" spans="1:5" x14ac:dyDescent="0.25">
      <c r="A17" s="435">
        <v>2</v>
      </c>
      <c r="B17" s="308">
        <v>2</v>
      </c>
      <c r="C17" s="308">
        <v>2</v>
      </c>
      <c r="D17" s="308" t="s">
        <v>74</v>
      </c>
      <c r="E17" s="72">
        <v>4</v>
      </c>
    </row>
    <row r="18" spans="1:5" x14ac:dyDescent="0.25">
      <c r="A18" s="435">
        <v>2</v>
      </c>
      <c r="B18" s="308">
        <v>2</v>
      </c>
      <c r="C18" s="308">
        <v>3</v>
      </c>
      <c r="D18" s="308" t="s">
        <v>66</v>
      </c>
      <c r="E18" s="72">
        <v>9</v>
      </c>
    </row>
    <row r="19" spans="1:5" x14ac:dyDescent="0.25">
      <c r="A19" s="434">
        <v>2</v>
      </c>
      <c r="B19" s="423">
        <v>3</v>
      </c>
      <c r="C19" s="423">
        <v>1</v>
      </c>
      <c r="D19" s="423" t="s">
        <v>74</v>
      </c>
      <c r="E19" s="433">
        <v>7</v>
      </c>
    </row>
    <row r="20" spans="1:5" x14ac:dyDescent="0.25">
      <c r="A20" s="432">
        <v>2</v>
      </c>
      <c r="B20" s="308">
        <v>3</v>
      </c>
      <c r="C20" s="308">
        <v>2</v>
      </c>
      <c r="D20" s="308" t="s">
        <v>66</v>
      </c>
      <c r="E20" s="72">
        <v>14</v>
      </c>
    </row>
    <row r="21" spans="1:5" x14ac:dyDescent="0.25">
      <c r="A21" s="432">
        <v>2</v>
      </c>
      <c r="B21" s="308">
        <v>3</v>
      </c>
      <c r="C21" s="308">
        <v>3</v>
      </c>
      <c r="D21" s="308" t="s">
        <v>65</v>
      </c>
      <c r="E21" s="72">
        <v>11</v>
      </c>
    </row>
    <row r="22" spans="1:5" x14ac:dyDescent="0.25">
      <c r="A22" s="434">
        <v>3</v>
      </c>
      <c r="B22" s="423">
        <v>1</v>
      </c>
      <c r="C22" s="423">
        <v>1</v>
      </c>
      <c r="D22" s="423" t="s">
        <v>65</v>
      </c>
      <c r="E22" s="433">
        <v>15</v>
      </c>
    </row>
    <row r="23" spans="1:5" x14ac:dyDescent="0.25">
      <c r="A23" s="432">
        <v>3</v>
      </c>
      <c r="B23" s="308">
        <v>1</v>
      </c>
      <c r="C23" s="308">
        <v>2</v>
      </c>
      <c r="D23" s="308" t="s">
        <v>74</v>
      </c>
      <c r="E23" s="72">
        <v>9</v>
      </c>
    </row>
    <row r="24" spans="1:5" x14ac:dyDescent="0.25">
      <c r="A24" s="292">
        <v>3</v>
      </c>
      <c r="B24" s="385">
        <v>1</v>
      </c>
      <c r="C24" s="385">
        <v>3</v>
      </c>
      <c r="D24" s="385" t="s">
        <v>66</v>
      </c>
      <c r="E24" s="54">
        <v>13</v>
      </c>
    </row>
    <row r="25" spans="1:5" x14ac:dyDescent="0.25">
      <c r="A25" s="432">
        <v>3</v>
      </c>
      <c r="B25" s="308">
        <v>2</v>
      </c>
      <c r="C25" s="308">
        <v>1</v>
      </c>
      <c r="D25" s="308" t="s">
        <v>74</v>
      </c>
      <c r="E25" s="72">
        <v>7</v>
      </c>
    </row>
    <row r="26" spans="1:5" x14ac:dyDescent="0.25">
      <c r="A26" s="432">
        <v>3</v>
      </c>
      <c r="B26" s="308">
        <v>2</v>
      </c>
      <c r="C26" s="308">
        <v>2</v>
      </c>
      <c r="D26" s="308" t="s">
        <v>66</v>
      </c>
      <c r="E26" s="72">
        <v>11</v>
      </c>
    </row>
    <row r="27" spans="1:5" x14ac:dyDescent="0.25">
      <c r="A27" s="292">
        <v>3</v>
      </c>
      <c r="B27" s="385">
        <v>2</v>
      </c>
      <c r="C27" s="385">
        <v>3</v>
      </c>
      <c r="D27" s="385" t="s">
        <v>65</v>
      </c>
      <c r="E27" s="54">
        <v>9</v>
      </c>
    </row>
    <row r="28" spans="1:5" x14ac:dyDescent="0.25">
      <c r="A28" s="432">
        <v>3</v>
      </c>
      <c r="B28" s="308">
        <v>3</v>
      </c>
      <c r="C28" s="308">
        <v>1</v>
      </c>
      <c r="D28" s="308" t="s">
        <v>66</v>
      </c>
      <c r="E28" s="72">
        <v>12</v>
      </c>
    </row>
    <row r="29" spans="1:5" x14ac:dyDescent="0.25">
      <c r="A29" s="432">
        <v>3</v>
      </c>
      <c r="B29" s="308">
        <v>3</v>
      </c>
      <c r="C29" s="308">
        <v>2</v>
      </c>
      <c r="D29" s="308" t="s">
        <v>65</v>
      </c>
      <c r="E29" s="72">
        <v>3</v>
      </c>
    </row>
    <row r="30" spans="1:5" x14ac:dyDescent="0.25">
      <c r="A30" s="292">
        <v>3</v>
      </c>
      <c r="B30" s="385">
        <v>3</v>
      </c>
      <c r="C30" s="385">
        <v>3</v>
      </c>
      <c r="D30" s="385" t="s">
        <v>74</v>
      </c>
      <c r="E30" s="54">
        <v>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4"/>
  <dimension ref="A1:V23"/>
  <sheetViews>
    <sheetView workbookViewId="0"/>
  </sheetViews>
  <sheetFormatPr defaultRowHeight="15" x14ac:dyDescent="0.25"/>
  <cols>
    <col min="7" max="7" width="15.7109375" customWidth="1"/>
  </cols>
  <sheetData>
    <row r="1" spans="1:22" x14ac:dyDescent="0.25">
      <c r="A1" s="1" t="s">
        <v>592</v>
      </c>
      <c r="G1" t="s">
        <v>98</v>
      </c>
    </row>
    <row r="3" spans="1:22" ht="15.75" thickBot="1" x14ac:dyDescent="0.3">
      <c r="A3" s="12" t="s">
        <v>597</v>
      </c>
      <c r="B3" s="12" t="s">
        <v>593</v>
      </c>
      <c r="C3" s="12" t="s">
        <v>594</v>
      </c>
      <c r="D3" s="12" t="s">
        <v>595</v>
      </c>
      <c r="E3" s="12" t="s">
        <v>596</v>
      </c>
      <c r="G3" t="s">
        <v>99</v>
      </c>
      <c r="L3" t="s">
        <v>17</v>
      </c>
      <c r="M3">
        <v>0.05</v>
      </c>
    </row>
    <row r="4" spans="1:22" ht="15.75" thickTop="1" x14ac:dyDescent="0.25">
      <c r="A4" s="228">
        <v>34.5</v>
      </c>
      <c r="B4" s="212">
        <v>48.9</v>
      </c>
      <c r="C4" s="212">
        <v>57.7</v>
      </c>
      <c r="D4" s="212">
        <v>41.6</v>
      </c>
      <c r="E4" s="229">
        <v>13.7</v>
      </c>
      <c r="G4" s="191" t="s">
        <v>47</v>
      </c>
      <c r="H4" s="191" t="s">
        <v>11</v>
      </c>
      <c r="I4" s="191" t="s">
        <v>10</v>
      </c>
      <c r="J4" s="191" t="s">
        <v>8</v>
      </c>
      <c r="K4" s="191" t="s">
        <v>48</v>
      </c>
      <c r="L4" s="191" t="s">
        <v>76</v>
      </c>
      <c r="M4" s="191" t="s">
        <v>36</v>
      </c>
      <c r="N4" s="191" t="s">
        <v>91</v>
      </c>
      <c r="O4" s="191" t="s">
        <v>92</v>
      </c>
      <c r="Q4" t="s">
        <v>486</v>
      </c>
    </row>
    <row r="5" spans="1:22" x14ac:dyDescent="0.25">
      <c r="A5" s="165">
        <v>24.9</v>
      </c>
      <c r="B5" s="37">
        <v>65</v>
      </c>
      <c r="C5" s="37">
        <v>29.6</v>
      </c>
      <c r="D5" s="37">
        <v>32.799999999999997</v>
      </c>
      <c r="E5" s="214">
        <v>27.9</v>
      </c>
      <c r="G5" t="str">
        <f>A3</f>
        <v>Region 1</v>
      </c>
      <c r="H5">
        <f>COUNT(A4:A13)</f>
        <v>10</v>
      </c>
      <c r="I5" s="21">
        <f>SUM(A4:A13)</f>
        <v>405.3</v>
      </c>
      <c r="J5" s="21">
        <f>AVERAGE(A4:A13)</f>
        <v>40.53</v>
      </c>
      <c r="K5">
        <f>VAR(A4:A13)</f>
        <v>195.61788888888864</v>
      </c>
      <c r="L5">
        <f>DEVSQ(A4:A13)</f>
        <v>1760.5609999999999</v>
      </c>
      <c r="M5">
        <f>SQRT(J14/H5)</f>
        <v>4.2808506423632933</v>
      </c>
      <c r="N5">
        <f>J5-M5*TINV(M3,H5-1)</f>
        <v>30.846043056508577</v>
      </c>
      <c r="O5">
        <f>J5+M5*TINV(M3,H5-1)</f>
        <v>50.213956943491425</v>
      </c>
    </row>
    <row r="6" spans="1:22" x14ac:dyDescent="0.25">
      <c r="A6" s="165">
        <v>40.4</v>
      </c>
      <c r="B6" s="37">
        <v>35.6</v>
      </c>
      <c r="C6" s="37">
        <v>38.799999999999997</v>
      </c>
      <c r="D6" s="37">
        <v>59.2</v>
      </c>
      <c r="E6" s="214">
        <v>37.799999999999997</v>
      </c>
      <c r="G6" t="str">
        <f>B3</f>
        <v>Region 2</v>
      </c>
      <c r="H6">
        <f>COUNT(B4:B13)</f>
        <v>10</v>
      </c>
      <c r="I6" s="21">
        <f>SUM(B4:B13)</f>
        <v>520.79999999999995</v>
      </c>
      <c r="J6" s="21">
        <f>AVERAGE(B4:B13)</f>
        <v>52.08</v>
      </c>
      <c r="K6">
        <f>VAR(B4:B13)</f>
        <v>193.29733333333408</v>
      </c>
      <c r="L6">
        <f>DEVSQ(B4:B13)</f>
        <v>1739.6759999999999</v>
      </c>
      <c r="M6">
        <f>SQRT(J14/H6)</f>
        <v>4.2808506423632933</v>
      </c>
      <c r="N6">
        <f>J6-M6*TINV(M3,H6-1)</f>
        <v>42.396043056508574</v>
      </c>
      <c r="O6">
        <f>J6+M6*TINV(M3,H6-1)</f>
        <v>61.763956943491422</v>
      </c>
      <c r="Q6" s="210"/>
      <c r="R6" s="210" t="str">
        <f>A3</f>
        <v>Region 1</v>
      </c>
      <c r="S6" s="210" t="str">
        <f>B3</f>
        <v>Region 2</v>
      </c>
      <c r="T6" s="210" t="str">
        <f>C3</f>
        <v>Region 3</v>
      </c>
      <c r="U6" s="210" t="str">
        <f>D3</f>
        <v>Region 4</v>
      </c>
      <c r="V6" s="210" t="str">
        <f>E3</f>
        <v>Region 5</v>
      </c>
    </row>
    <row r="7" spans="1:22" x14ac:dyDescent="0.25">
      <c r="A7" s="165">
        <v>42.5</v>
      </c>
      <c r="B7" s="37">
        <v>39.700000000000003</v>
      </c>
      <c r="C7" s="37">
        <v>34.6</v>
      </c>
      <c r="D7" s="37">
        <v>45</v>
      </c>
      <c r="E7" s="214">
        <v>41.5</v>
      </c>
      <c r="G7" t="str">
        <f>C3</f>
        <v>Region 3</v>
      </c>
      <c r="H7">
        <f>COUNT(C4:C13)</f>
        <v>10</v>
      </c>
      <c r="I7" s="21">
        <f>SUM(C4:C13)</f>
        <v>455.60000000000008</v>
      </c>
      <c r="J7" s="21">
        <f>AVERAGE(C4:C13)</f>
        <v>45.560000000000009</v>
      </c>
      <c r="K7">
        <f>VAR(C4:C13)</f>
        <v>177.63822222222129</v>
      </c>
      <c r="L7">
        <f>DEVSQ(C4:C13)</f>
        <v>1598.7439999999997</v>
      </c>
      <c r="M7">
        <f>SQRT(J14/H7)</f>
        <v>4.2808506423632933</v>
      </c>
      <c r="N7">
        <f>J7-M7*TINV(M3,H7-1)</f>
        <v>35.876043056508585</v>
      </c>
      <c r="O7">
        <f>J7+M7*TINV(M3,H7-1)</f>
        <v>55.243956943491433</v>
      </c>
      <c r="Q7" t="s">
        <v>227</v>
      </c>
      <c r="R7" t="e">
        <f ca="1">SHAPIRO(A4:A13)</f>
        <v>#NAME?</v>
      </c>
      <c r="S7" t="e">
        <f ca="1">SHAPIRO(B4:B13)</f>
        <v>#NAME?</v>
      </c>
      <c r="T7" t="e">
        <f ca="1">SHAPIRO(C4:C13)</f>
        <v>#NAME?</v>
      </c>
      <c r="U7" t="e">
        <f ca="1">SHAPIRO(D4:D13)</f>
        <v>#NAME?</v>
      </c>
      <c r="V7" t="e">
        <f ca="1">SHAPIRO(E4:E13)</f>
        <v>#NAME?</v>
      </c>
    </row>
    <row r="8" spans="1:22" x14ac:dyDescent="0.25">
      <c r="A8" s="165">
        <v>31</v>
      </c>
      <c r="B8" s="37">
        <v>58.6</v>
      </c>
      <c r="C8" s="37">
        <v>46.7</v>
      </c>
      <c r="D8" s="37">
        <v>67.599999999999994</v>
      </c>
      <c r="E8" s="214">
        <v>23.4</v>
      </c>
      <c r="G8" t="str">
        <f>D3</f>
        <v>Region 4</v>
      </c>
      <c r="H8">
        <f>COUNT(D4:D13)</f>
        <v>10</v>
      </c>
      <c r="I8" s="21">
        <f>SUM(D4:D13)</f>
        <v>535.20000000000005</v>
      </c>
      <c r="J8" s="21">
        <f>AVERAGE(D4:D13)</f>
        <v>53.52</v>
      </c>
      <c r="K8">
        <f>VAR(D4:D13)</f>
        <v>182.73733333333317</v>
      </c>
      <c r="L8">
        <f>DEVSQ(D4:D13)</f>
        <v>1644.636</v>
      </c>
      <c r="M8">
        <f>SQRT(J14/H8)</f>
        <v>4.2808506423632933</v>
      </c>
      <c r="N8">
        <f>J8-M8*TINV(M3,H8-1)</f>
        <v>43.836043056508579</v>
      </c>
      <c r="O8">
        <f>J8+M8*TINV(M3,H8-1)</f>
        <v>63.203956943491427</v>
      </c>
      <c r="Q8" t="s">
        <v>43</v>
      </c>
      <c r="R8" t="e">
        <f ca="1">SWTEST(A4:A13)</f>
        <v>#NAME?</v>
      </c>
      <c r="S8" t="e">
        <f ca="1">SWTEST(B4:B13)</f>
        <v>#NAME?</v>
      </c>
      <c r="T8" t="e">
        <f ca="1">SWTEST(C4:C13)</f>
        <v>#NAME?</v>
      </c>
      <c r="U8" t="e">
        <f ca="1">SWTEST(D4:D13)</f>
        <v>#NAME?</v>
      </c>
      <c r="V8" t="e">
        <f ca="1">SWTEST(E4:E13)</f>
        <v>#NAME?</v>
      </c>
    </row>
    <row r="9" spans="1:22" x14ac:dyDescent="0.25">
      <c r="A9" s="165">
        <v>34.6</v>
      </c>
      <c r="B9" s="37">
        <v>60.1</v>
      </c>
      <c r="C9" s="37">
        <v>42.3</v>
      </c>
      <c r="D9" s="37">
        <v>67.400000000000006</v>
      </c>
      <c r="E9" s="214">
        <v>39.299999999999997</v>
      </c>
      <c r="G9" t="str">
        <f>E3</f>
        <v>Region 5</v>
      </c>
      <c r="H9">
        <f>COUNT(E4:E13)</f>
        <v>10</v>
      </c>
      <c r="I9" s="21">
        <f>SUM(E4:E13)</f>
        <v>346.99999999999994</v>
      </c>
      <c r="J9" s="21">
        <f>AVERAGE(E4:E13)</f>
        <v>34.699999999999996</v>
      </c>
      <c r="K9">
        <f>VAR(E4:E13)</f>
        <v>166.9933333333336</v>
      </c>
      <c r="L9">
        <f>DEVSQ(E4:E13)</f>
        <v>1502.9399999999998</v>
      </c>
      <c r="M9">
        <f>SQRT(J14/H9)</f>
        <v>4.2808506423632933</v>
      </c>
      <c r="N9">
        <f>J9-M9*TINV(M3,H9-1)</f>
        <v>25.016043056508572</v>
      </c>
      <c r="O9">
        <f>J9+M9*TINV(M3,H9-1)</f>
        <v>44.38395694349142</v>
      </c>
      <c r="Q9" t="s">
        <v>58</v>
      </c>
      <c r="R9">
        <v>0.05</v>
      </c>
      <c r="S9">
        <v>0.05</v>
      </c>
      <c r="T9">
        <v>0.05</v>
      </c>
      <c r="U9">
        <v>0.05</v>
      </c>
      <c r="V9">
        <v>0.05</v>
      </c>
    </row>
    <row r="10" spans="1:22" x14ac:dyDescent="0.25">
      <c r="A10" s="165">
        <v>21.8</v>
      </c>
      <c r="B10" s="37">
        <v>64.7</v>
      </c>
      <c r="C10" s="37">
        <v>39.6</v>
      </c>
      <c r="D10" s="37">
        <v>63.1</v>
      </c>
      <c r="E10" s="214">
        <v>36.9</v>
      </c>
      <c r="G10" s="192"/>
      <c r="H10" s="192"/>
      <c r="I10" s="192"/>
      <c r="J10" s="192"/>
      <c r="K10" s="192"/>
      <c r="L10" s="192"/>
      <c r="M10" s="192"/>
      <c r="N10" s="192"/>
      <c r="O10" s="192"/>
      <c r="Q10" s="185" t="s">
        <v>487</v>
      </c>
      <c r="R10" s="209" t="e">
        <f ca="1">IF(R8&lt;R9,"no","yes")</f>
        <v>#NAME?</v>
      </c>
      <c r="S10" s="209" t="e">
        <f ca="1">IF(S8&lt;S9,"no","yes")</f>
        <v>#NAME?</v>
      </c>
      <c r="T10" s="209" t="e">
        <f ca="1">IF(T8&lt;T9,"no","yes")</f>
        <v>#NAME?</v>
      </c>
      <c r="U10" s="209" t="e">
        <f ca="1">IF(U8&lt;U9,"no","yes")</f>
        <v>#NAME?</v>
      </c>
      <c r="V10" s="209" t="e">
        <f ca="1">IF(V8&lt;V9,"no","yes")</f>
        <v>#NAME?</v>
      </c>
    </row>
    <row r="11" spans="1:22" ht="15.75" thickBot="1" x14ac:dyDescent="0.3">
      <c r="A11" s="165">
        <v>62</v>
      </c>
      <c r="B11" s="37">
        <v>59.3</v>
      </c>
      <c r="C11" s="37">
        <v>61.8</v>
      </c>
      <c r="D11" s="37">
        <v>65.599999999999994</v>
      </c>
      <c r="E11" s="214">
        <v>61.3</v>
      </c>
      <c r="G11" t="s">
        <v>84</v>
      </c>
    </row>
    <row r="12" spans="1:22" ht="15.75" thickTop="1" x14ac:dyDescent="0.25">
      <c r="A12" s="165">
        <v>54.7</v>
      </c>
      <c r="B12" s="37">
        <v>63.2</v>
      </c>
      <c r="C12" s="37">
        <v>70</v>
      </c>
      <c r="D12" s="37">
        <v>57.4</v>
      </c>
      <c r="E12" s="214">
        <v>25.9</v>
      </c>
      <c r="G12" s="191" t="s">
        <v>100</v>
      </c>
      <c r="H12" s="191" t="s">
        <v>76</v>
      </c>
      <c r="I12" s="191" t="s">
        <v>37</v>
      </c>
      <c r="J12" s="191" t="s">
        <v>78</v>
      </c>
      <c r="K12" s="191" t="s">
        <v>68</v>
      </c>
      <c r="L12" s="191" t="s">
        <v>101</v>
      </c>
      <c r="M12" s="191" t="s">
        <v>108</v>
      </c>
      <c r="N12" s="191" t="s">
        <v>408</v>
      </c>
      <c r="O12" s="191" t="s">
        <v>409</v>
      </c>
    </row>
    <row r="13" spans="1:22" x14ac:dyDescent="0.25">
      <c r="A13" s="190">
        <v>58.9</v>
      </c>
      <c r="B13" s="211">
        <v>25.7</v>
      </c>
      <c r="C13" s="211">
        <v>34.5</v>
      </c>
      <c r="D13" s="211">
        <v>35.5</v>
      </c>
      <c r="E13" s="215">
        <v>39.299999999999997</v>
      </c>
      <c r="G13" t="s">
        <v>103</v>
      </c>
      <c r="H13">
        <f>H15-H14</f>
        <v>2487.148799999999</v>
      </c>
      <c r="I13">
        <f>COUNTA(G5:G9)-1</f>
        <v>4</v>
      </c>
      <c r="J13">
        <f>H13/I13</f>
        <v>621.78719999999976</v>
      </c>
      <c r="K13">
        <f>J13/J14</f>
        <v>3.3929825501721491</v>
      </c>
      <c r="L13">
        <f>FDIST(K13,I13,I14)</f>
        <v>1.6504701725843174E-2</v>
      </c>
      <c r="M13">
        <f>FINV(M3,I13,I14)</f>
        <v>2.5787391843115586</v>
      </c>
      <c r="N13">
        <f>SQRT(DEVSQ(J5:J9)/(J14*I13))</f>
        <v>0.58249313731340668</v>
      </c>
      <c r="O13">
        <f>(H15-I15*J14)/(H15+J14)</f>
        <v>0.16067853044952968</v>
      </c>
    </row>
    <row r="14" spans="1:22" x14ac:dyDescent="0.25">
      <c r="G14" t="s">
        <v>104</v>
      </c>
      <c r="H14">
        <f>SUM(L5:L9)</f>
        <v>8246.5570000000007</v>
      </c>
      <c r="I14">
        <f>I15-I13</f>
        <v>45</v>
      </c>
      <c r="J14">
        <f>H14/I14</f>
        <v>183.25682222222224</v>
      </c>
    </row>
    <row r="15" spans="1:22" x14ac:dyDescent="0.25">
      <c r="G15" s="185" t="s">
        <v>1</v>
      </c>
      <c r="H15" s="185">
        <f>DEVSQ(A4:E13)</f>
        <v>10733.7058</v>
      </c>
      <c r="I15" s="185">
        <f>COUNT(A4:E13)-1</f>
        <v>49</v>
      </c>
      <c r="J15" s="185">
        <f>H15/I15</f>
        <v>219.05522040816325</v>
      </c>
      <c r="K15" s="185"/>
      <c r="L15" s="185"/>
      <c r="M15" s="185"/>
      <c r="N15" s="185"/>
      <c r="O15" s="185"/>
    </row>
    <row r="17" spans="7:13" ht="15.75" thickBot="1" x14ac:dyDescent="0.3">
      <c r="G17" t="s">
        <v>604</v>
      </c>
    </row>
    <row r="18" spans="7:13" ht="15.75" thickTop="1" x14ac:dyDescent="0.25">
      <c r="G18" s="191" t="s">
        <v>48</v>
      </c>
      <c r="H18" s="191" t="s">
        <v>605</v>
      </c>
      <c r="I18" s="191" t="s">
        <v>37</v>
      </c>
      <c r="J18" s="191" t="s">
        <v>606</v>
      </c>
      <c r="K18" s="191" t="s">
        <v>607</v>
      </c>
      <c r="L18" s="191" t="s">
        <v>91</v>
      </c>
      <c r="M18" s="191" t="s">
        <v>92</v>
      </c>
    </row>
    <row r="19" spans="7:13" x14ac:dyDescent="0.25">
      <c r="G19" t="s">
        <v>356</v>
      </c>
      <c r="H19">
        <f>(J13-J14)/H5</f>
        <v>43.85303777777775</v>
      </c>
      <c r="I19">
        <f>(H19*H5)^2/(J13^2/I13-J14^2/I14)</f>
        <v>2.0051279246220481</v>
      </c>
      <c r="J19" t="e">
        <f ca="1">CHISQ_INV(M3/2,I19)</f>
        <v>#NAME?</v>
      </c>
      <c r="K19" t="e">
        <f ca="1">CHISQ_INV(1-M3/2,I19)</f>
        <v>#NAME?</v>
      </c>
      <c r="L19" t="e">
        <f ca="1">H19*I19/K19</f>
        <v>#NAME?</v>
      </c>
      <c r="M19" t="e">
        <f ca="1">H19*I19/J19</f>
        <v>#NAME?</v>
      </c>
    </row>
    <row r="20" spans="7:13" x14ac:dyDescent="0.25">
      <c r="G20" s="185" t="s">
        <v>122</v>
      </c>
      <c r="H20" s="185">
        <f>J14</f>
        <v>183.25682222222224</v>
      </c>
      <c r="I20" s="185">
        <f>I14</f>
        <v>45</v>
      </c>
      <c r="J20" s="185" t="e">
        <f ca="1">CHISQ_INV(M3/2,I20)</f>
        <v>#NAME?</v>
      </c>
      <c r="K20" s="185" t="e">
        <f ca="1">CHISQ_INV(1-M3/2,I20)</f>
        <v>#NAME?</v>
      </c>
      <c r="L20" s="185" t="e">
        <f ca="1">H20*I20/K20</f>
        <v>#NAME?</v>
      </c>
      <c r="M20" s="185" t="e">
        <f ca="1">H20*I20/J20</f>
        <v>#NAME?</v>
      </c>
    </row>
    <row r="21" spans="7:13" ht="15.75" thickBot="1" x14ac:dyDescent="0.3"/>
    <row r="22" spans="7:13" ht="15.75" thickTop="1" x14ac:dyDescent="0.25">
      <c r="G22" s="191"/>
      <c r="H22" s="191" t="s">
        <v>605</v>
      </c>
      <c r="I22" s="191" t="s">
        <v>48</v>
      </c>
      <c r="J22" s="191" t="s">
        <v>44</v>
      </c>
      <c r="K22" s="191" t="s">
        <v>91</v>
      </c>
      <c r="L22" s="191" t="s">
        <v>92</v>
      </c>
    </row>
    <row r="23" spans="7:13" x14ac:dyDescent="0.25">
      <c r="G23" s="234" t="s">
        <v>8</v>
      </c>
      <c r="H23" s="235">
        <f>AVERAGE(A4:E13)</f>
        <v>45.277999999999999</v>
      </c>
      <c r="I23" s="234">
        <f>J13/(H5*(I13+1))</f>
        <v>12.435743999999994</v>
      </c>
      <c r="J23" s="234">
        <f>TINV(M3,I13)</f>
        <v>2.7764451051977934</v>
      </c>
      <c r="K23" s="234">
        <f>H23-SQRT(I23)*J23</f>
        <v>35.487046730351004</v>
      </c>
      <c r="L23" s="234">
        <f>H23+SQRT(I23)*J23</f>
        <v>55.068953269648993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AO13"/>
  <sheetViews>
    <sheetView workbookViewId="0">
      <selection activeCell="P8" sqref="P8"/>
    </sheetView>
  </sheetViews>
  <sheetFormatPr defaultRowHeight="15" x14ac:dyDescent="0.25"/>
  <cols>
    <col min="1" max="7" width="4.7109375" customWidth="1"/>
  </cols>
  <sheetData>
    <row r="1" spans="1:41" ht="15.75" thickBot="1" x14ac:dyDescent="0.3">
      <c r="A1" s="1" t="s">
        <v>691</v>
      </c>
      <c r="J1" t="s">
        <v>12</v>
      </c>
      <c r="O1" t="s">
        <v>667</v>
      </c>
      <c r="W1" t="s">
        <v>692</v>
      </c>
      <c r="AH1" t="s">
        <v>693</v>
      </c>
      <c r="AL1" t="s">
        <v>17</v>
      </c>
      <c r="AM1">
        <v>0.05</v>
      </c>
    </row>
    <row r="2" spans="1:41" ht="15.75" thickTop="1" x14ac:dyDescent="0.25">
      <c r="W2" s="191" t="s">
        <v>825</v>
      </c>
      <c r="X2" s="191" t="s">
        <v>829</v>
      </c>
      <c r="Y2" s="191" t="s">
        <v>6</v>
      </c>
      <c r="AH2" s="191" t="s">
        <v>825</v>
      </c>
      <c r="AI2" s="191" t="s">
        <v>6</v>
      </c>
      <c r="AJ2" s="191" t="s">
        <v>183</v>
      </c>
      <c r="AK2" s="191" t="s">
        <v>37</v>
      </c>
      <c r="AL2" s="191" t="s">
        <v>113</v>
      </c>
      <c r="AM2" s="191" t="s">
        <v>826</v>
      </c>
    </row>
    <row r="3" spans="1:41" ht="15" customHeight="1" thickBot="1" x14ac:dyDescent="0.3">
      <c r="A3" s="293"/>
      <c r="B3" s="256">
        <v>1</v>
      </c>
      <c r="C3" s="256">
        <v>2</v>
      </c>
      <c r="D3" s="256">
        <v>3</v>
      </c>
      <c r="E3" s="256">
        <v>1</v>
      </c>
      <c r="F3" s="256">
        <v>2</v>
      </c>
      <c r="G3" s="256">
        <v>3</v>
      </c>
      <c r="I3" s="368"/>
      <c r="J3" s="368" t="s">
        <v>694</v>
      </c>
      <c r="K3" s="368" t="s">
        <v>25</v>
      </c>
      <c r="L3" s="368" t="s">
        <v>670</v>
      </c>
      <c r="M3" s="368" t="s">
        <v>671</v>
      </c>
      <c r="O3" t="s">
        <v>84</v>
      </c>
      <c r="S3" s="368" t="s">
        <v>17</v>
      </c>
      <c r="T3" s="368">
        <v>0.05</v>
      </c>
      <c r="W3" s="443" t="s">
        <v>74</v>
      </c>
      <c r="X3" s="444">
        <v>-0.5</v>
      </c>
      <c r="Y3" s="406">
        <f t="array" ref="Y3:Y5">M4:M6</f>
        <v>7.4444444444444446</v>
      </c>
      <c r="AH3" s="443" t="s">
        <v>74</v>
      </c>
      <c r="AI3" s="406">
        <f t="array" ref="AI3:AI5">M4:M6</f>
        <v>7.4444444444444446</v>
      </c>
      <c r="AJ3" s="406"/>
      <c r="AK3" s="406"/>
      <c r="AL3" s="406"/>
      <c r="AM3" s="406"/>
    </row>
    <row r="4" spans="1:41" ht="15.75" thickTop="1" x14ac:dyDescent="0.25">
      <c r="A4" s="295">
        <v>1</v>
      </c>
      <c r="B4" s="441" t="s">
        <v>74</v>
      </c>
      <c r="C4" s="442" t="s">
        <v>65</v>
      </c>
      <c r="D4" s="442" t="s">
        <v>66</v>
      </c>
      <c r="E4" s="441">
        <v>11</v>
      </c>
      <c r="F4" s="442">
        <v>12</v>
      </c>
      <c r="G4" s="439">
        <v>15</v>
      </c>
      <c r="I4">
        <v>1</v>
      </c>
      <c r="J4" s="402">
        <f>AVERAGE(E4:G6)</f>
        <v>8.4444444444444446</v>
      </c>
      <c r="K4" s="345">
        <f t="array" ref="K4">AVERAGE(IF($A$4:$A$12=I4,$E$4:$G$12,""))</f>
        <v>11.444444444444445</v>
      </c>
      <c r="L4" s="345">
        <f>AVERAGE(E4:E12)</f>
        <v>10.111111111111111</v>
      </c>
      <c r="M4" s="404">
        <f t="array" ref="M4">AVERAGE(IF($B$4:$D$12=CHAR(64+I4),$E$4:$G$12,""))</f>
        <v>7.4444444444444446</v>
      </c>
      <c r="O4" s="191"/>
      <c r="P4" s="191" t="s">
        <v>76</v>
      </c>
      <c r="Q4" s="191" t="s">
        <v>37</v>
      </c>
      <c r="R4" s="191" t="s">
        <v>78</v>
      </c>
      <c r="S4" s="191" t="s">
        <v>68</v>
      </c>
      <c r="T4" s="191" t="s">
        <v>43</v>
      </c>
      <c r="U4" s="191" t="s">
        <v>111</v>
      </c>
      <c r="W4" s="308" t="s">
        <v>65</v>
      </c>
      <c r="X4" s="257">
        <v>-0.5</v>
      </c>
      <c r="Y4" s="7">
        <v>8.6666666666666661</v>
      </c>
      <c r="AH4" s="308" t="s">
        <v>65</v>
      </c>
      <c r="AI4" s="7">
        <v>8.6666666666666661</v>
      </c>
      <c r="AJ4" s="7"/>
      <c r="AK4" s="7"/>
      <c r="AL4" s="7"/>
      <c r="AM4" s="7"/>
    </row>
    <row r="5" spans="1:41" x14ac:dyDescent="0.25">
      <c r="A5" s="295">
        <v>2</v>
      </c>
      <c r="B5" s="438" t="s">
        <v>65</v>
      </c>
      <c r="C5" s="40" t="s">
        <v>66</v>
      </c>
      <c r="D5" s="40" t="s">
        <v>74</v>
      </c>
      <c r="E5" s="438">
        <v>8</v>
      </c>
      <c r="F5" s="40">
        <v>7</v>
      </c>
      <c r="G5" s="296">
        <v>5</v>
      </c>
      <c r="I5">
        <f>I4+1</f>
        <v>2</v>
      </c>
      <c r="J5" s="428">
        <f>AVERAGE(E7:G9)</f>
        <v>9.1111111111111107</v>
      </c>
      <c r="K5" s="7">
        <f t="array" ref="K5">AVERAGE(IF($A$4:$A$12=I5,$E$4:$G$12,""))</f>
        <v>7.666666666666667</v>
      </c>
      <c r="L5" s="7">
        <f>AVERAGE(F4:F12)</f>
        <v>7.5555555555555554</v>
      </c>
      <c r="M5" s="35">
        <f t="array" ref="M5">AVERAGE(IF($B$4:$D$12=CHAR(64+I5),$E$4:$G$12,""))</f>
        <v>8.6666666666666661</v>
      </c>
      <c r="O5" t="s">
        <v>389</v>
      </c>
      <c r="P5">
        <f>DEVSQ(M4:M6)*(Q5+1)*(Q8+1)</f>
        <v>75.629629629629648</v>
      </c>
      <c r="Q5">
        <f>COUNT(M4:M6)-1</f>
        <v>2</v>
      </c>
      <c r="R5">
        <f t="shared" ref="R5:R10" si="0">P5/Q5</f>
        <v>37.814814814814824</v>
      </c>
      <c r="S5">
        <f>R5/R9</f>
        <v>5.6827458256029706</v>
      </c>
      <c r="T5">
        <f>FDIST(S5,Q5,Q9)</f>
        <v>1.2215663426526935E-2</v>
      </c>
      <c r="U5" s="368" t="str">
        <f>IF(T5&lt;T3,"yes","no")</f>
        <v>yes</v>
      </c>
      <c r="W5" s="385" t="s">
        <v>66</v>
      </c>
      <c r="X5" s="355">
        <v>1</v>
      </c>
      <c r="Y5" s="353">
        <v>11.444444444444445</v>
      </c>
      <c r="AH5" s="385" t="s">
        <v>66</v>
      </c>
      <c r="AI5" s="353">
        <v>11.444444444444445</v>
      </c>
      <c r="AJ5" s="353"/>
      <c r="AK5" s="353"/>
      <c r="AL5" s="353"/>
      <c r="AM5" s="353"/>
    </row>
    <row r="6" spans="1:41" x14ac:dyDescent="0.25">
      <c r="A6" s="295">
        <v>3</v>
      </c>
      <c r="B6" s="438" t="s">
        <v>66</v>
      </c>
      <c r="C6" s="40" t="s">
        <v>74</v>
      </c>
      <c r="D6" s="40" t="s">
        <v>65</v>
      </c>
      <c r="E6" s="438">
        <v>9</v>
      </c>
      <c r="F6" s="40">
        <v>3</v>
      </c>
      <c r="G6" s="296">
        <v>6</v>
      </c>
      <c r="I6">
        <f>I5+1</f>
        <v>3</v>
      </c>
      <c r="J6" s="348">
        <f>AVERAGE(E10:G12)</f>
        <v>10</v>
      </c>
      <c r="K6" s="183">
        <f t="array" ref="K6">AVERAGE(IF($A$4:$A$12=I6,$E$4:$G$12,""))</f>
        <v>8.4444444444444446</v>
      </c>
      <c r="L6" s="183">
        <f>AVERAGE(G4:G12)</f>
        <v>9.8888888888888893</v>
      </c>
      <c r="M6" s="184">
        <f t="array" ref="M6">AVERAGE(IF($B$4:$D$12=CHAR(64+I6),$E$4:$G$12,""))</f>
        <v>11.444444444444445</v>
      </c>
      <c r="O6" t="s">
        <v>69</v>
      </c>
      <c r="P6">
        <f>DEVSQ(K4:K6)*(Q6+1)*(Q8+1)</f>
        <v>71.629629629629619</v>
      </c>
      <c r="Q6">
        <f>Q5</f>
        <v>2</v>
      </c>
      <c r="R6">
        <f t="shared" si="0"/>
        <v>35.81481481481481</v>
      </c>
      <c r="S6">
        <f>R6/R9</f>
        <v>5.3821892393320958</v>
      </c>
      <c r="T6">
        <f>FDIST(S6,Q6,Q9)</f>
        <v>1.4714909493731844E-2</v>
      </c>
      <c r="U6" s="368" t="str">
        <f>IF(T6&lt;T3,"yes","no")</f>
        <v>yes</v>
      </c>
      <c r="X6">
        <f>SUM(X3:X5)</f>
        <v>0</v>
      </c>
      <c r="Y6">
        <f>SUMPRODUCT(X3:X5,Y3:Y5)</f>
        <v>3.3888888888888893</v>
      </c>
      <c r="AJ6">
        <f>SQRT(R9/((Q5+1)*(Q6+1)))</f>
        <v>0.85986568638843697</v>
      </c>
      <c r="AK6">
        <f>Q9</f>
        <v>18</v>
      </c>
      <c r="AL6" t="e">
        <f ca="1">QCRIT(COUNT(AI3:AI5),AK6,AM1,2)</f>
        <v>#NAME?</v>
      </c>
      <c r="AM6" t="e">
        <f ca="1">AJ6*AL6</f>
        <v>#NAME?</v>
      </c>
    </row>
    <row r="7" spans="1:41" ht="15.75" thickBot="1" x14ac:dyDescent="0.3">
      <c r="A7" s="295">
        <v>1</v>
      </c>
      <c r="B7" s="441" t="s">
        <v>66</v>
      </c>
      <c r="C7" s="440" t="s">
        <v>65</v>
      </c>
      <c r="D7" s="440" t="s">
        <v>74</v>
      </c>
      <c r="E7" s="441">
        <v>13</v>
      </c>
      <c r="F7" s="440">
        <v>5</v>
      </c>
      <c r="G7" s="439">
        <v>10</v>
      </c>
      <c r="O7" t="s">
        <v>123</v>
      </c>
      <c r="P7">
        <f>DEVSQ(L4:L6)*(Q7+1)*(Q8+1)</f>
        <v>36.074074074074076</v>
      </c>
      <c r="Q7">
        <f>Q5</f>
        <v>2</v>
      </c>
      <c r="R7">
        <f t="shared" si="0"/>
        <v>18.037037037037038</v>
      </c>
      <c r="S7">
        <f>R7/R9</f>
        <v>2.710575139146568</v>
      </c>
      <c r="T7">
        <f>FDIST(S7,Q7,Q9)</f>
        <v>9.3535949633576865E-2</v>
      </c>
      <c r="U7" s="368" t="str">
        <f>IF(T7&lt;T3,"yes","no")</f>
        <v>no</v>
      </c>
      <c r="AH7" t="s">
        <v>498</v>
      </c>
    </row>
    <row r="8" spans="1:41" ht="16.5" thickTop="1" thickBot="1" x14ac:dyDescent="0.3">
      <c r="A8" s="295">
        <v>2</v>
      </c>
      <c r="B8" s="438" t="s">
        <v>65</v>
      </c>
      <c r="C8" s="40" t="s">
        <v>74</v>
      </c>
      <c r="D8" s="40" t="s">
        <v>66</v>
      </c>
      <c r="E8" s="438">
        <v>9</v>
      </c>
      <c r="F8" s="40">
        <v>4</v>
      </c>
      <c r="G8" s="296">
        <v>9</v>
      </c>
      <c r="O8" t="s">
        <v>695</v>
      </c>
      <c r="P8">
        <f>DEVSQ(J4:J6)*(Q5+1)^2</f>
        <v>10.962962962962962</v>
      </c>
      <c r="Q8">
        <f>COUNT(J4:J6)-1</f>
        <v>2</v>
      </c>
      <c r="R8">
        <f t="shared" si="0"/>
        <v>5.481481481481481</v>
      </c>
      <c r="S8">
        <f>R8/R9</f>
        <v>0.82374768089053807</v>
      </c>
      <c r="T8">
        <f>FDIST(S8,Q8,Q9)</f>
        <v>0.4546610930031918</v>
      </c>
      <c r="U8" s="368" t="str">
        <f>IF(T8&lt;T3,"yes","no")</f>
        <v>no</v>
      </c>
      <c r="W8" t="s">
        <v>42</v>
      </c>
      <c r="AB8" t="s">
        <v>17</v>
      </c>
      <c r="AC8">
        <v>0.05</v>
      </c>
      <c r="AH8" s="191" t="s">
        <v>827</v>
      </c>
      <c r="AI8" s="191" t="s">
        <v>828</v>
      </c>
      <c r="AJ8" s="191" t="s">
        <v>6</v>
      </c>
      <c r="AK8" s="191" t="s">
        <v>497</v>
      </c>
      <c r="AL8" s="191" t="s">
        <v>14</v>
      </c>
      <c r="AM8" s="191" t="s">
        <v>15</v>
      </c>
      <c r="AN8" s="191" t="s">
        <v>43</v>
      </c>
      <c r="AO8" s="191" t="s">
        <v>41</v>
      </c>
    </row>
    <row r="9" spans="1:41" ht="15.75" thickTop="1" x14ac:dyDescent="0.25">
      <c r="A9" s="295">
        <v>3</v>
      </c>
      <c r="B9" s="297" t="s">
        <v>74</v>
      </c>
      <c r="C9" s="437" t="s">
        <v>66</v>
      </c>
      <c r="D9" s="437" t="s">
        <v>65</v>
      </c>
      <c r="E9" s="297">
        <v>7</v>
      </c>
      <c r="F9" s="437">
        <v>14</v>
      </c>
      <c r="G9" s="298">
        <v>11</v>
      </c>
      <c r="O9" t="s">
        <v>122</v>
      </c>
      <c r="P9">
        <f>P10-SUM(P5:P8)</f>
        <v>119.77777777777777</v>
      </c>
      <c r="Q9">
        <f>Q10-SUM(Q5:Q8)</f>
        <v>18</v>
      </c>
      <c r="R9">
        <f t="shared" si="0"/>
        <v>6.6543209876543203</v>
      </c>
      <c r="W9" s="191" t="s">
        <v>183</v>
      </c>
      <c r="X9" s="191" t="s">
        <v>53</v>
      </c>
      <c r="Y9" s="191" t="s">
        <v>37</v>
      </c>
      <c r="Z9" s="191" t="s">
        <v>43</v>
      </c>
      <c r="AA9" s="191" t="s">
        <v>44</v>
      </c>
      <c r="AB9" s="191" t="s">
        <v>14</v>
      </c>
      <c r="AC9" s="191" t="s">
        <v>15</v>
      </c>
      <c r="AD9" s="191" t="s">
        <v>111</v>
      </c>
      <c r="AE9" s="191" t="s">
        <v>41</v>
      </c>
      <c r="AF9" s="191" t="s">
        <v>192</v>
      </c>
      <c r="AH9" s="427" t="str">
        <f>AH3</f>
        <v>A</v>
      </c>
      <c r="AI9" s="427" t="str">
        <f>AH4</f>
        <v>B</v>
      </c>
      <c r="AJ9" s="427">
        <f>ABS(AI3-AI4)</f>
        <v>1.2222222222222214</v>
      </c>
      <c r="AK9" s="427">
        <f>AJ9/AJ$6</f>
        <v>1.4214106244380276</v>
      </c>
      <c r="AL9" s="427" t="e">
        <f ca="1">AJ9-AM$6</f>
        <v>#NAME?</v>
      </c>
      <c r="AM9" s="427" t="e">
        <f ca="1">AJ9+AM$6</f>
        <v>#NAME?</v>
      </c>
      <c r="AN9" s="427" t="e">
        <f ca="1">QDIST(AK9,COUNT(AI$3:AI$5),AK$6)</f>
        <v>#NAME?</v>
      </c>
      <c r="AO9" s="427">
        <f>AJ9/SQRT(R$9)</f>
        <v>0.4738035414793425</v>
      </c>
    </row>
    <row r="10" spans="1:41" x14ac:dyDescent="0.25">
      <c r="A10" s="295">
        <v>1</v>
      </c>
      <c r="B10" s="438" t="s">
        <v>65</v>
      </c>
      <c r="C10" s="40" t="s">
        <v>74</v>
      </c>
      <c r="D10" s="40" t="s">
        <v>66</v>
      </c>
      <c r="E10" s="438">
        <v>15</v>
      </c>
      <c r="F10" s="40">
        <v>9</v>
      </c>
      <c r="G10" s="296">
        <v>13</v>
      </c>
      <c r="O10" s="353" t="s">
        <v>1</v>
      </c>
      <c r="P10" s="353">
        <f>DEVSQ(E4:G12)</f>
        <v>314.07407407407408</v>
      </c>
      <c r="Q10" s="353">
        <f>COUNT(E4:G12)-1</f>
        <v>26</v>
      </c>
      <c r="R10" s="353">
        <f t="shared" si="0"/>
        <v>12.079772079772081</v>
      </c>
      <c r="S10" s="353"/>
      <c r="T10" s="353"/>
      <c r="U10" s="353"/>
      <c r="W10" s="431">
        <f>SQRT(R9*SUMSQ(X3:X5)/((Q5+1)*(Q6+1)))</f>
        <v>1.0531160894898466</v>
      </c>
      <c r="X10" s="431">
        <f>Y6/W10</f>
        <v>3.217963264173985</v>
      </c>
      <c r="Y10" s="431">
        <f>Q9</f>
        <v>18</v>
      </c>
      <c r="Z10" s="431">
        <f>TDIST(ABS(X10),Y10,2)</f>
        <v>4.7702713444299659E-3</v>
      </c>
      <c r="AA10" s="431">
        <f>TINV(AC8,Y10)</f>
        <v>2.1009220402410378</v>
      </c>
      <c r="AB10" s="431">
        <f>Y6-W10*AA10</f>
        <v>1.1763740855472173</v>
      </c>
      <c r="AC10" s="431">
        <f>Y6+W10*AA10</f>
        <v>5.6014036922305612</v>
      </c>
      <c r="AD10" s="430" t="str">
        <f>IF(Z10&lt;AC8,"yes","no")</f>
        <v>yes</v>
      </c>
      <c r="AE10" s="431">
        <f>ABS(Y6)/SQRT(R9)</f>
        <v>1.3137280013745416</v>
      </c>
      <c r="AF10" s="431">
        <f>SQRT(X10^2/(X10^2+Y10))</f>
        <v>0.60431594575409697</v>
      </c>
      <c r="AH10" s="7" t="str">
        <f>AH3</f>
        <v>A</v>
      </c>
      <c r="AI10" s="7" t="str">
        <f>AH5</f>
        <v>C</v>
      </c>
      <c r="AJ10" s="7">
        <f>ABS(AI3-AI5)</f>
        <v>4</v>
      </c>
      <c r="AK10" s="7">
        <f>AJ10/AJ$6</f>
        <v>4.6518893163426389</v>
      </c>
      <c r="AL10" s="7" t="e">
        <f ca="1">AJ10-AM$6</f>
        <v>#NAME?</v>
      </c>
      <c r="AM10" s="7" t="e">
        <f ca="1">AJ10+AM$6</f>
        <v>#NAME?</v>
      </c>
      <c r="AN10" s="7" t="e">
        <f ca="1">QDIST(AK10,COUNT(AI$3:AI$5),AK$6)</f>
        <v>#NAME?</v>
      </c>
      <c r="AO10" s="7">
        <f>AJ10/SQRT(R$9)</f>
        <v>1.5506297721142128</v>
      </c>
    </row>
    <row r="11" spans="1:41" x14ac:dyDescent="0.25">
      <c r="A11" s="295">
        <v>2</v>
      </c>
      <c r="B11" s="438" t="s">
        <v>74</v>
      </c>
      <c r="C11" s="40" t="s">
        <v>66</v>
      </c>
      <c r="D11" s="40" t="s">
        <v>65</v>
      </c>
      <c r="E11" s="438">
        <v>7</v>
      </c>
      <c r="F11" s="40">
        <v>11</v>
      </c>
      <c r="G11" s="296">
        <v>9</v>
      </c>
      <c r="AH11" s="353" t="str">
        <f>AH4</f>
        <v>B</v>
      </c>
      <c r="AI11" s="353" t="str">
        <f>AH5</f>
        <v>C</v>
      </c>
      <c r="AJ11" s="353">
        <f>ABS(AI4-AI5)</f>
        <v>2.7777777777777786</v>
      </c>
      <c r="AK11" s="353">
        <f>AJ11/AJ$6</f>
        <v>3.2304786919046111</v>
      </c>
      <c r="AL11" s="353" t="e">
        <f ca="1">AJ11-AM$6</f>
        <v>#NAME?</v>
      </c>
      <c r="AM11" s="353" t="e">
        <f ca="1">AJ11+AM$6</f>
        <v>#NAME?</v>
      </c>
      <c r="AN11" s="353" t="e">
        <f ca="1">QDIST(AK11,COUNT(AI$3:AI$5),AK$6)</f>
        <v>#NAME?</v>
      </c>
      <c r="AO11" s="353">
        <f>AJ11/SQRT(R$9)</f>
        <v>1.0768262306348704</v>
      </c>
    </row>
    <row r="12" spans="1:41" x14ac:dyDescent="0.25">
      <c r="A12" s="295">
        <v>3</v>
      </c>
      <c r="B12" s="297" t="s">
        <v>66</v>
      </c>
      <c r="C12" s="437" t="s">
        <v>65</v>
      </c>
      <c r="D12" s="437" t="s">
        <v>74</v>
      </c>
      <c r="E12" s="297">
        <v>12</v>
      </c>
      <c r="F12" s="437">
        <v>3</v>
      </c>
      <c r="G12" s="298">
        <v>11</v>
      </c>
    </row>
    <row r="13" spans="1:41" x14ac:dyDescent="0.25">
      <c r="A13" s="294"/>
      <c r="B13" s="294"/>
      <c r="C13" s="294"/>
      <c r="D13" s="294"/>
      <c r="E13" s="294"/>
      <c r="F13" s="294"/>
      <c r="G13" s="294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4"/>
  <dimension ref="A1:M34"/>
  <sheetViews>
    <sheetView workbookViewId="0"/>
  </sheetViews>
  <sheetFormatPr defaultRowHeight="15" x14ac:dyDescent="0.25"/>
  <cols>
    <col min="7" max="7" width="18" customWidth="1"/>
  </cols>
  <sheetData>
    <row r="1" spans="1:11" x14ac:dyDescent="0.25">
      <c r="A1" s="1" t="s">
        <v>289</v>
      </c>
    </row>
    <row r="3" spans="1:11" x14ac:dyDescent="0.25">
      <c r="A3" s="59" t="s">
        <v>35</v>
      </c>
      <c r="B3" s="59" t="s">
        <v>52</v>
      </c>
      <c r="C3" s="59" t="s">
        <v>165</v>
      </c>
      <c r="D3" s="59" t="s">
        <v>166</v>
      </c>
      <c r="E3" s="59" t="s">
        <v>167</v>
      </c>
      <c r="G3" t="s">
        <v>121</v>
      </c>
    </row>
    <row r="4" spans="1:11" ht="15.75" thickBot="1" x14ac:dyDescent="0.3">
      <c r="A4" s="59">
        <v>1</v>
      </c>
      <c r="B4" s="73">
        <v>16</v>
      </c>
      <c r="C4" s="74">
        <v>22</v>
      </c>
      <c r="D4" s="74">
        <v>23</v>
      </c>
      <c r="E4" s="77">
        <v>25</v>
      </c>
    </row>
    <row r="5" spans="1:11" x14ac:dyDescent="0.25">
      <c r="A5" s="59">
        <f>A4+1</f>
        <v>2</v>
      </c>
      <c r="B5" s="75">
        <v>12</v>
      </c>
      <c r="C5" s="33">
        <v>18</v>
      </c>
      <c r="D5" s="33">
        <v>24</v>
      </c>
      <c r="E5" s="26">
        <v>29</v>
      </c>
      <c r="G5" s="63" t="s">
        <v>39</v>
      </c>
      <c r="H5" s="63" t="s">
        <v>11</v>
      </c>
      <c r="I5" s="63" t="s">
        <v>10</v>
      </c>
      <c r="J5" s="63" t="s">
        <v>106</v>
      </c>
      <c r="K5" s="63" t="s">
        <v>48</v>
      </c>
    </row>
    <row r="6" spans="1:11" x14ac:dyDescent="0.25">
      <c r="A6" s="59">
        <f t="shared" ref="A6:A18" si="0">A5+1</f>
        <v>3</v>
      </c>
      <c r="B6" s="75">
        <v>23</v>
      </c>
      <c r="C6" s="33">
        <v>24</v>
      </c>
      <c r="D6" s="33">
        <v>26</v>
      </c>
      <c r="E6" s="26">
        <v>27</v>
      </c>
      <c r="G6" s="16">
        <v>1</v>
      </c>
      <c r="H6" s="16">
        <v>4</v>
      </c>
      <c r="I6" s="16">
        <v>86</v>
      </c>
      <c r="J6" s="16">
        <v>21.5</v>
      </c>
      <c r="K6" s="16">
        <v>15</v>
      </c>
    </row>
    <row r="7" spans="1:11" x14ac:dyDescent="0.25">
      <c r="A7" s="59">
        <f t="shared" si="0"/>
        <v>4</v>
      </c>
      <c r="B7" s="75">
        <v>8</v>
      </c>
      <c r="C7" s="33">
        <v>20</v>
      </c>
      <c r="D7" s="33">
        <v>28</v>
      </c>
      <c r="E7" s="26">
        <v>30</v>
      </c>
      <c r="G7" s="16">
        <v>2</v>
      </c>
      <c r="H7" s="16">
        <v>4</v>
      </c>
      <c r="I7" s="16">
        <v>83</v>
      </c>
      <c r="J7" s="16">
        <v>20.75</v>
      </c>
      <c r="K7" s="16">
        <v>54.25</v>
      </c>
    </row>
    <row r="8" spans="1:11" x14ac:dyDescent="0.25">
      <c r="A8" s="59">
        <f t="shared" si="0"/>
        <v>5</v>
      </c>
      <c r="B8" s="75">
        <v>3</v>
      </c>
      <c r="C8" s="33">
        <v>12</v>
      </c>
      <c r="D8" s="33">
        <v>13</v>
      </c>
      <c r="E8" s="26">
        <v>17</v>
      </c>
      <c r="G8" s="16">
        <v>3</v>
      </c>
      <c r="H8" s="16">
        <v>4</v>
      </c>
      <c r="I8" s="16">
        <v>100</v>
      </c>
      <c r="J8" s="16">
        <v>25</v>
      </c>
      <c r="K8" s="16">
        <v>3.3333333333333335</v>
      </c>
    </row>
    <row r="9" spans="1:11" x14ac:dyDescent="0.25">
      <c r="A9" s="59">
        <f t="shared" si="0"/>
        <v>6</v>
      </c>
      <c r="B9" s="75">
        <v>5</v>
      </c>
      <c r="C9" s="33">
        <v>13</v>
      </c>
      <c r="D9" s="33">
        <v>11</v>
      </c>
      <c r="E9" s="26">
        <v>15</v>
      </c>
      <c r="G9" s="16">
        <v>4</v>
      </c>
      <c r="H9" s="16">
        <v>4</v>
      </c>
      <c r="I9" s="16">
        <v>86</v>
      </c>
      <c r="J9" s="16">
        <v>21.5</v>
      </c>
      <c r="K9" s="16">
        <v>99.666666666666671</v>
      </c>
    </row>
    <row r="10" spans="1:11" x14ac:dyDescent="0.25">
      <c r="A10" s="59">
        <f t="shared" si="0"/>
        <v>7</v>
      </c>
      <c r="B10" s="75">
        <v>19</v>
      </c>
      <c r="C10" s="33">
        <v>22</v>
      </c>
      <c r="D10" s="33">
        <v>25</v>
      </c>
      <c r="E10" s="26">
        <v>26</v>
      </c>
      <c r="G10" s="16">
        <v>5</v>
      </c>
      <c r="H10" s="16">
        <v>4</v>
      </c>
      <c r="I10" s="16">
        <v>45</v>
      </c>
      <c r="J10" s="16">
        <v>11.25</v>
      </c>
      <c r="K10" s="16">
        <v>34.916666666666664</v>
      </c>
    </row>
    <row r="11" spans="1:11" x14ac:dyDescent="0.25">
      <c r="A11" s="59">
        <f t="shared" si="0"/>
        <v>8</v>
      </c>
      <c r="B11" s="75">
        <v>22</v>
      </c>
      <c r="C11" s="33">
        <v>22</v>
      </c>
      <c r="D11" s="33">
        <v>23</v>
      </c>
      <c r="E11" s="26">
        <v>26</v>
      </c>
      <c r="G11" s="16">
        <v>6</v>
      </c>
      <c r="H11" s="16">
        <v>4</v>
      </c>
      <c r="I11" s="16">
        <v>44</v>
      </c>
      <c r="J11" s="16">
        <v>11</v>
      </c>
      <c r="K11" s="16">
        <v>18.666666666666668</v>
      </c>
    </row>
    <row r="12" spans="1:11" x14ac:dyDescent="0.25">
      <c r="A12" s="59">
        <f t="shared" si="0"/>
        <v>9</v>
      </c>
      <c r="B12" s="75">
        <v>12</v>
      </c>
      <c r="C12" s="33">
        <v>20</v>
      </c>
      <c r="D12" s="33">
        <v>22</v>
      </c>
      <c r="E12" s="26">
        <v>24</v>
      </c>
      <c r="G12" s="16">
        <v>7</v>
      </c>
      <c r="H12" s="16">
        <v>4</v>
      </c>
      <c r="I12" s="16">
        <v>92</v>
      </c>
      <c r="J12" s="16">
        <v>23</v>
      </c>
      <c r="K12" s="16">
        <v>10</v>
      </c>
    </row>
    <row r="13" spans="1:11" x14ac:dyDescent="0.25">
      <c r="A13" s="59">
        <f t="shared" si="0"/>
        <v>10</v>
      </c>
      <c r="B13" s="75">
        <v>16</v>
      </c>
      <c r="C13" s="33">
        <v>22</v>
      </c>
      <c r="D13" s="33">
        <v>26</v>
      </c>
      <c r="E13" s="26">
        <v>29</v>
      </c>
      <c r="G13" s="16">
        <v>8</v>
      </c>
      <c r="H13" s="16">
        <v>4</v>
      </c>
      <c r="I13" s="16">
        <v>93</v>
      </c>
      <c r="J13" s="16">
        <v>23.25</v>
      </c>
      <c r="K13" s="16">
        <v>3.5833333333333335</v>
      </c>
    </row>
    <row r="14" spans="1:11" x14ac:dyDescent="0.25">
      <c r="A14" s="59">
        <f t="shared" si="0"/>
        <v>11</v>
      </c>
      <c r="B14" s="75">
        <v>14</v>
      </c>
      <c r="C14" s="33">
        <v>25</v>
      </c>
      <c r="D14" s="33">
        <v>18</v>
      </c>
      <c r="E14" s="26">
        <v>21</v>
      </c>
      <c r="G14" s="16">
        <v>9</v>
      </c>
      <c r="H14" s="16">
        <v>4</v>
      </c>
      <c r="I14" s="16">
        <v>78</v>
      </c>
      <c r="J14" s="16">
        <v>19.5</v>
      </c>
      <c r="K14" s="16">
        <v>27.666666666666668</v>
      </c>
    </row>
    <row r="15" spans="1:11" x14ac:dyDescent="0.25">
      <c r="A15" s="59">
        <f t="shared" si="0"/>
        <v>12</v>
      </c>
      <c r="B15" s="75">
        <v>24</v>
      </c>
      <c r="C15" s="33">
        <v>26</v>
      </c>
      <c r="D15" s="33">
        <v>21</v>
      </c>
      <c r="E15" s="26">
        <v>23</v>
      </c>
      <c r="G15" s="16">
        <v>10</v>
      </c>
      <c r="H15" s="16">
        <v>4</v>
      </c>
      <c r="I15" s="16">
        <v>93</v>
      </c>
      <c r="J15" s="16">
        <v>23.25</v>
      </c>
      <c r="K15" s="16">
        <v>31.583333333333332</v>
      </c>
    </row>
    <row r="16" spans="1:11" x14ac:dyDescent="0.25">
      <c r="A16" s="59">
        <f t="shared" si="0"/>
        <v>13</v>
      </c>
      <c r="B16" s="75">
        <v>9</v>
      </c>
      <c r="C16" s="33">
        <v>12</v>
      </c>
      <c r="D16" s="33">
        <v>20</v>
      </c>
      <c r="E16" s="26">
        <v>23</v>
      </c>
      <c r="G16" s="16">
        <v>11</v>
      </c>
      <c r="H16" s="16">
        <v>4</v>
      </c>
      <c r="I16" s="16">
        <v>78</v>
      </c>
      <c r="J16" s="16">
        <v>19.5</v>
      </c>
      <c r="K16" s="16">
        <v>21.666666666666668</v>
      </c>
    </row>
    <row r="17" spans="1:13" x14ac:dyDescent="0.25">
      <c r="A17" s="59">
        <f t="shared" si="0"/>
        <v>14</v>
      </c>
      <c r="B17" s="75">
        <v>3</v>
      </c>
      <c r="C17" s="33">
        <v>9</v>
      </c>
      <c r="D17" s="33">
        <v>13</v>
      </c>
      <c r="E17" s="26">
        <v>16</v>
      </c>
      <c r="G17" s="16">
        <v>12</v>
      </c>
      <c r="H17" s="16">
        <v>4</v>
      </c>
      <c r="I17" s="16">
        <v>94</v>
      </c>
      <c r="J17" s="16">
        <v>23.5</v>
      </c>
      <c r="K17" s="16">
        <v>4.333333333333333</v>
      </c>
    </row>
    <row r="18" spans="1:13" x14ac:dyDescent="0.25">
      <c r="A18" s="59">
        <f t="shared" si="0"/>
        <v>15</v>
      </c>
      <c r="B18" s="66">
        <v>2</v>
      </c>
      <c r="C18" s="67">
        <v>8</v>
      </c>
      <c r="D18" s="67">
        <v>6</v>
      </c>
      <c r="E18" s="28">
        <v>10</v>
      </c>
      <c r="G18" s="16">
        <v>13</v>
      </c>
      <c r="H18" s="16">
        <v>4</v>
      </c>
      <c r="I18" s="16">
        <v>64</v>
      </c>
      <c r="J18" s="16">
        <v>16</v>
      </c>
      <c r="K18" s="16">
        <v>43.333333333333336</v>
      </c>
    </row>
    <row r="19" spans="1:13" x14ac:dyDescent="0.25">
      <c r="G19" s="16">
        <v>14</v>
      </c>
      <c r="H19" s="16">
        <v>4</v>
      </c>
      <c r="I19" s="16">
        <v>41</v>
      </c>
      <c r="J19" s="16">
        <v>10.25</v>
      </c>
      <c r="K19" s="16">
        <v>31.583333333333332</v>
      </c>
    </row>
    <row r="20" spans="1:13" x14ac:dyDescent="0.25">
      <c r="G20" s="16">
        <v>15</v>
      </c>
      <c r="H20" s="16">
        <v>4</v>
      </c>
      <c r="I20" s="16">
        <v>26</v>
      </c>
      <c r="J20" s="16">
        <v>6.5</v>
      </c>
      <c r="K20" s="16">
        <v>11.666666666666666</v>
      </c>
    </row>
    <row r="21" spans="1:13" x14ac:dyDescent="0.25">
      <c r="G21" s="16"/>
      <c r="H21" s="16"/>
      <c r="I21" s="16"/>
      <c r="J21" s="16"/>
      <c r="K21" s="16"/>
    </row>
    <row r="22" spans="1:13" x14ac:dyDescent="0.25">
      <c r="G22" s="16" t="s">
        <v>52</v>
      </c>
      <c r="H22" s="16">
        <v>15</v>
      </c>
      <c r="I22" s="16">
        <v>188</v>
      </c>
      <c r="J22" s="16">
        <v>12.533333333333333</v>
      </c>
      <c r="K22" s="16">
        <v>55.838095238095221</v>
      </c>
    </row>
    <row r="23" spans="1:13" x14ac:dyDescent="0.25">
      <c r="G23" s="16" t="s">
        <v>165</v>
      </c>
      <c r="H23" s="16">
        <v>15</v>
      </c>
      <c r="I23" s="16">
        <v>275</v>
      </c>
      <c r="J23" s="16">
        <v>18.333333333333332</v>
      </c>
      <c r="K23" s="16">
        <v>35.523809523809504</v>
      </c>
    </row>
    <row r="24" spans="1:13" x14ac:dyDescent="0.25">
      <c r="G24" s="16" t="s">
        <v>166</v>
      </c>
      <c r="H24" s="16">
        <v>15</v>
      </c>
      <c r="I24" s="16">
        <v>299</v>
      </c>
      <c r="J24" s="16">
        <v>19.933333333333334</v>
      </c>
      <c r="K24" s="16">
        <v>41.352380952380955</v>
      </c>
    </row>
    <row r="25" spans="1:13" ht="15.75" thickBot="1" x14ac:dyDescent="0.3">
      <c r="G25" s="17" t="s">
        <v>167</v>
      </c>
      <c r="H25" s="17">
        <v>15</v>
      </c>
      <c r="I25" s="17">
        <v>341</v>
      </c>
      <c r="J25" s="17">
        <v>22.733333333333334</v>
      </c>
      <c r="K25" s="17">
        <v>34.352380952380955</v>
      </c>
    </row>
    <row r="28" spans="1:13" ht="15.75" thickBot="1" x14ac:dyDescent="0.3">
      <c r="G28" t="s">
        <v>84</v>
      </c>
    </row>
    <row r="29" spans="1:13" x14ac:dyDescent="0.25">
      <c r="G29" s="63" t="s">
        <v>107</v>
      </c>
      <c r="H29" s="63" t="s">
        <v>76</v>
      </c>
      <c r="I29" s="63" t="s">
        <v>37</v>
      </c>
      <c r="J29" s="63" t="s">
        <v>78</v>
      </c>
      <c r="K29" s="63" t="s">
        <v>68</v>
      </c>
      <c r="L29" s="63" t="s">
        <v>62</v>
      </c>
      <c r="M29" s="63" t="s">
        <v>108</v>
      </c>
    </row>
    <row r="30" spans="1:13" x14ac:dyDescent="0.25">
      <c r="G30" s="16" t="s">
        <v>69</v>
      </c>
      <c r="H30" s="16">
        <v>1938.4333333333334</v>
      </c>
      <c r="I30" s="16">
        <v>14</v>
      </c>
      <c r="J30" s="16">
        <v>138.4595238095238</v>
      </c>
      <c r="K30" s="16">
        <v>14.520099875156053</v>
      </c>
      <c r="L30" s="16">
        <v>8.1670607503920066E-12</v>
      </c>
      <c r="M30" s="16">
        <v>1.9350088132446253</v>
      </c>
    </row>
    <row r="31" spans="1:13" x14ac:dyDescent="0.25">
      <c r="G31" s="16" t="s">
        <v>123</v>
      </c>
      <c r="H31" s="16">
        <v>833.25</v>
      </c>
      <c r="I31" s="16">
        <v>3</v>
      </c>
      <c r="J31" s="16">
        <v>277.75</v>
      </c>
      <c r="K31" s="16">
        <v>29.127340823970034</v>
      </c>
      <c r="L31" s="16">
        <v>2.39621816316698E-10</v>
      </c>
      <c r="M31" s="16">
        <v>2.8270487120861261</v>
      </c>
    </row>
    <row r="32" spans="1:13" x14ac:dyDescent="0.25">
      <c r="G32" s="16" t="s">
        <v>122</v>
      </c>
      <c r="H32" s="16">
        <v>400.5</v>
      </c>
      <c r="I32" s="16">
        <v>42</v>
      </c>
      <c r="J32" s="16">
        <v>9.5357142857142865</v>
      </c>
      <c r="K32" s="16"/>
      <c r="L32" s="16"/>
      <c r="M32" s="16"/>
    </row>
    <row r="33" spans="7:13" x14ac:dyDescent="0.25">
      <c r="G33" s="16"/>
      <c r="H33" s="16"/>
      <c r="I33" s="16"/>
      <c r="J33" s="16"/>
      <c r="K33" s="16"/>
      <c r="L33" s="16"/>
      <c r="M33" s="16"/>
    </row>
    <row r="34" spans="7:13" ht="15.75" thickBot="1" x14ac:dyDescent="0.3">
      <c r="G34" s="17" t="s">
        <v>1</v>
      </c>
      <c r="H34" s="17">
        <v>3172.1833333333334</v>
      </c>
      <c r="I34" s="17">
        <v>59</v>
      </c>
      <c r="J34" s="17"/>
      <c r="K34" s="17"/>
      <c r="L34" s="17"/>
      <c r="M34" s="17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8"/>
  <dimension ref="A1:G26"/>
  <sheetViews>
    <sheetView zoomScaleNormal="100" workbookViewId="0"/>
  </sheetViews>
  <sheetFormatPr defaultRowHeight="15" x14ac:dyDescent="0.25"/>
  <cols>
    <col min="1" max="1" width="9.85546875" customWidth="1"/>
    <col min="5" max="5" width="9.140625" customWidth="1"/>
  </cols>
  <sheetData>
    <row r="1" spans="1:6" x14ac:dyDescent="0.25">
      <c r="A1" s="1" t="s">
        <v>181</v>
      </c>
    </row>
    <row r="3" spans="1:6" x14ac:dyDescent="0.25">
      <c r="A3" s="83" t="s">
        <v>35</v>
      </c>
      <c r="B3" s="83" t="s">
        <v>52</v>
      </c>
      <c r="C3" s="83" t="s">
        <v>165</v>
      </c>
      <c r="D3" s="83" t="s">
        <v>166</v>
      </c>
      <c r="E3" s="83" t="s">
        <v>167</v>
      </c>
    </row>
    <row r="4" spans="1:6" x14ac:dyDescent="0.25">
      <c r="A4" s="83" t="s">
        <v>114</v>
      </c>
      <c r="B4" s="88">
        <v>1</v>
      </c>
      <c r="C4" s="89">
        <f>-1/3</f>
        <v>-0.33333333333333331</v>
      </c>
      <c r="D4" s="89">
        <f>-1/3</f>
        <v>-0.33333333333333331</v>
      </c>
      <c r="E4" s="90">
        <f>-1/3</f>
        <v>-0.33333333333333331</v>
      </c>
      <c r="F4" s="91" t="s">
        <v>182</v>
      </c>
    </row>
    <row r="5" spans="1:6" x14ac:dyDescent="0.25">
      <c r="A5" s="83">
        <v>1</v>
      </c>
      <c r="B5" s="92">
        <v>16</v>
      </c>
      <c r="C5" s="93">
        <v>22</v>
      </c>
      <c r="D5" s="93">
        <v>23</v>
      </c>
      <c r="E5" s="94">
        <v>25</v>
      </c>
      <c r="F5" s="78">
        <f>SUMPRODUCT($B$4:$E$4,B5:E5)</f>
        <v>-7.3333333333333304</v>
      </c>
    </row>
    <row r="6" spans="1:6" x14ac:dyDescent="0.25">
      <c r="A6" s="83">
        <f>A5+1</f>
        <v>2</v>
      </c>
      <c r="B6" s="75">
        <v>12</v>
      </c>
      <c r="C6" s="33">
        <v>18</v>
      </c>
      <c r="D6" s="33">
        <v>24</v>
      </c>
      <c r="E6" s="72">
        <v>29</v>
      </c>
      <c r="F6" s="78">
        <f t="shared" ref="F6:F19" si="0">SUMPRODUCT($B$4:$E$4,B6:E6)</f>
        <v>-11.666666666666666</v>
      </c>
    </row>
    <row r="7" spans="1:6" x14ac:dyDescent="0.25">
      <c r="A7" s="83">
        <f t="shared" ref="A7:A19" si="1">A6+1</f>
        <v>3</v>
      </c>
      <c r="B7" s="75">
        <v>23</v>
      </c>
      <c r="C7" s="33">
        <v>24</v>
      </c>
      <c r="D7" s="33">
        <v>26</v>
      </c>
      <c r="E7" s="72">
        <v>27</v>
      </c>
      <c r="F7" s="78">
        <f t="shared" si="0"/>
        <v>-2.6666666666666661</v>
      </c>
    </row>
    <row r="8" spans="1:6" x14ac:dyDescent="0.25">
      <c r="A8" s="83">
        <f t="shared" si="1"/>
        <v>4</v>
      </c>
      <c r="B8" s="75">
        <v>8</v>
      </c>
      <c r="C8" s="33">
        <v>20</v>
      </c>
      <c r="D8" s="33">
        <v>28</v>
      </c>
      <c r="E8" s="72">
        <v>30</v>
      </c>
      <c r="F8" s="78">
        <f t="shared" si="0"/>
        <v>-18</v>
      </c>
    </row>
    <row r="9" spans="1:6" x14ac:dyDescent="0.25">
      <c r="A9" s="83">
        <f t="shared" si="1"/>
        <v>5</v>
      </c>
      <c r="B9" s="75">
        <v>3</v>
      </c>
      <c r="C9" s="33">
        <v>12</v>
      </c>
      <c r="D9" s="33">
        <v>13</v>
      </c>
      <c r="E9" s="72">
        <v>17</v>
      </c>
      <c r="F9" s="78">
        <f t="shared" si="0"/>
        <v>-11</v>
      </c>
    </row>
    <row r="10" spans="1:6" x14ac:dyDescent="0.25">
      <c r="A10" s="83">
        <f t="shared" si="1"/>
        <v>6</v>
      </c>
      <c r="B10" s="75">
        <v>5</v>
      </c>
      <c r="C10" s="33">
        <v>13</v>
      </c>
      <c r="D10" s="33">
        <v>11</v>
      </c>
      <c r="E10" s="72">
        <v>15</v>
      </c>
      <c r="F10" s="78">
        <f t="shared" si="0"/>
        <v>-8</v>
      </c>
    </row>
    <row r="11" spans="1:6" x14ac:dyDescent="0.25">
      <c r="A11" s="83">
        <f t="shared" si="1"/>
        <v>7</v>
      </c>
      <c r="B11" s="75">
        <v>19</v>
      </c>
      <c r="C11" s="33">
        <v>22</v>
      </c>
      <c r="D11" s="33">
        <v>25</v>
      </c>
      <c r="E11" s="72">
        <v>26</v>
      </c>
      <c r="F11" s="78">
        <f t="shared" si="0"/>
        <v>-5.3333333333333304</v>
      </c>
    </row>
    <row r="12" spans="1:6" x14ac:dyDescent="0.25">
      <c r="A12" s="83">
        <f t="shared" si="1"/>
        <v>8</v>
      </c>
      <c r="B12" s="75">
        <v>22</v>
      </c>
      <c r="C12" s="33">
        <v>22</v>
      </c>
      <c r="D12" s="33">
        <v>23</v>
      </c>
      <c r="E12" s="72">
        <v>26</v>
      </c>
      <c r="F12" s="78">
        <f t="shared" si="0"/>
        <v>-1.6666666666666643</v>
      </c>
    </row>
    <row r="13" spans="1:6" x14ac:dyDescent="0.25">
      <c r="A13" s="83">
        <f t="shared" si="1"/>
        <v>9</v>
      </c>
      <c r="B13" s="75">
        <v>12</v>
      </c>
      <c r="C13" s="33">
        <v>20</v>
      </c>
      <c r="D13" s="33">
        <v>22</v>
      </c>
      <c r="E13" s="72">
        <v>24</v>
      </c>
      <c r="F13" s="78">
        <f t="shared" si="0"/>
        <v>-10</v>
      </c>
    </row>
    <row r="14" spans="1:6" x14ac:dyDescent="0.25">
      <c r="A14" s="83">
        <f t="shared" si="1"/>
        <v>10</v>
      </c>
      <c r="B14" s="75">
        <v>16</v>
      </c>
      <c r="C14" s="33">
        <v>22</v>
      </c>
      <c r="D14" s="33">
        <v>26</v>
      </c>
      <c r="E14" s="72">
        <v>29</v>
      </c>
      <c r="F14" s="78">
        <f t="shared" si="0"/>
        <v>-9.6666666666666643</v>
      </c>
    </row>
    <row r="15" spans="1:6" x14ac:dyDescent="0.25">
      <c r="A15" s="83">
        <f t="shared" si="1"/>
        <v>11</v>
      </c>
      <c r="B15" s="75">
        <v>14</v>
      </c>
      <c r="C15" s="33">
        <v>25</v>
      </c>
      <c r="D15" s="33">
        <v>18</v>
      </c>
      <c r="E15" s="72">
        <v>21</v>
      </c>
      <c r="F15" s="78">
        <f t="shared" si="0"/>
        <v>-7.3333333333333321</v>
      </c>
    </row>
    <row r="16" spans="1:6" x14ac:dyDescent="0.25">
      <c r="A16" s="83">
        <f t="shared" si="1"/>
        <v>12</v>
      </c>
      <c r="B16" s="75">
        <v>24</v>
      </c>
      <c r="C16" s="33">
        <v>26</v>
      </c>
      <c r="D16" s="33">
        <v>21</v>
      </c>
      <c r="E16" s="72">
        <v>23</v>
      </c>
      <c r="F16" s="78">
        <f t="shared" si="0"/>
        <v>0.66666666666666785</v>
      </c>
    </row>
    <row r="17" spans="1:7" x14ac:dyDescent="0.25">
      <c r="A17" s="83">
        <f t="shared" si="1"/>
        <v>13</v>
      </c>
      <c r="B17" s="75">
        <v>9</v>
      </c>
      <c r="C17" s="33">
        <v>12</v>
      </c>
      <c r="D17" s="33">
        <v>20</v>
      </c>
      <c r="E17" s="72">
        <v>23</v>
      </c>
      <c r="F17" s="78">
        <f t="shared" si="0"/>
        <v>-9.3333333333333321</v>
      </c>
    </row>
    <row r="18" spans="1:7" x14ac:dyDescent="0.25">
      <c r="A18" s="83">
        <f t="shared" si="1"/>
        <v>14</v>
      </c>
      <c r="B18" s="75">
        <v>3</v>
      </c>
      <c r="C18" s="33">
        <v>9</v>
      </c>
      <c r="D18" s="33">
        <v>13</v>
      </c>
      <c r="E18" s="72">
        <v>16</v>
      </c>
      <c r="F18" s="78">
        <f t="shared" si="0"/>
        <v>-9.6666666666666661</v>
      </c>
    </row>
    <row r="19" spans="1:7" x14ac:dyDescent="0.25">
      <c r="A19" s="83">
        <f t="shared" si="1"/>
        <v>15</v>
      </c>
      <c r="B19" s="66">
        <v>2</v>
      </c>
      <c r="C19" s="67">
        <v>8</v>
      </c>
      <c r="D19" s="67">
        <v>6</v>
      </c>
      <c r="E19" s="28">
        <v>10</v>
      </c>
      <c r="F19" s="58">
        <f t="shared" si="0"/>
        <v>-6</v>
      </c>
    </row>
    <row r="20" spans="1:7" x14ac:dyDescent="0.25">
      <c r="A20" s="83" t="s">
        <v>6</v>
      </c>
      <c r="F20" s="95">
        <f>AVERAGE(F5:F19)</f>
        <v>-7.799999999999998</v>
      </c>
    </row>
    <row r="21" spans="1:7" x14ac:dyDescent="0.25">
      <c r="A21" s="83" t="s">
        <v>46</v>
      </c>
      <c r="F21" s="78">
        <f>STDEV(F5:F19)</f>
        <v>4.5422181840754901</v>
      </c>
    </row>
    <row r="22" spans="1:7" x14ac:dyDescent="0.25">
      <c r="A22" s="83" t="s">
        <v>183</v>
      </c>
      <c r="F22" s="58">
        <f>F21/SQRT(COUNTA($A$5:$A$19))</f>
        <v>1.1727956921176579</v>
      </c>
    </row>
    <row r="24" spans="1:7" ht="15.75" thickBot="1" x14ac:dyDescent="0.3">
      <c r="A24" t="s">
        <v>110</v>
      </c>
    </row>
    <row r="25" spans="1:7" x14ac:dyDescent="0.25">
      <c r="A25" s="84" t="s">
        <v>6</v>
      </c>
      <c r="B25" s="84" t="s">
        <v>73</v>
      </c>
      <c r="C25" s="84" t="s">
        <v>184</v>
      </c>
      <c r="D25" s="84" t="s">
        <v>37</v>
      </c>
      <c r="E25" s="81" t="s">
        <v>43</v>
      </c>
      <c r="F25" s="81" t="s">
        <v>191</v>
      </c>
      <c r="G25" s="81" t="s">
        <v>192</v>
      </c>
    </row>
    <row r="26" spans="1:7" ht="15.75" thickBot="1" x14ac:dyDescent="0.3">
      <c r="A26" s="19">
        <f>F20</f>
        <v>-7.799999999999998</v>
      </c>
      <c r="B26" s="19">
        <f>F22</f>
        <v>1.1727956921176579</v>
      </c>
      <c r="C26" s="19">
        <f>A26/B26</f>
        <v>-6.6507747704256417</v>
      </c>
      <c r="D26" s="82">
        <f>A19-1</f>
        <v>14</v>
      </c>
      <c r="E26" s="19">
        <f>TDIST(ABS(C26),D26,2)</f>
        <v>1.0947447655714998E-5</v>
      </c>
      <c r="F26" s="19">
        <f>ABS(F20/F21)</f>
        <v>1.7172226616823312</v>
      </c>
      <c r="G26" s="19">
        <f>SQRT(C26^2/(C26^2+D26))</f>
        <v>0.87154212973269984</v>
      </c>
    </row>
  </sheetData>
  <pageMargins left="0.7" right="0.7" top="0.75" bottom="0.75" header="0.3" footer="0.3"/>
  <ignoredErrors>
    <ignoredError sqref="F5" formulaRange="1"/>
  </ignoredError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B26"/>
  <sheetViews>
    <sheetView workbookViewId="0"/>
  </sheetViews>
  <sheetFormatPr defaultRowHeight="15" x14ac:dyDescent="0.25"/>
  <cols>
    <col min="7" max="7" width="10.42578125" customWidth="1"/>
  </cols>
  <sheetData>
    <row r="1" spans="1:54" ht="15.75" thickBot="1" x14ac:dyDescent="0.3">
      <c r="A1" s="1" t="s">
        <v>289</v>
      </c>
      <c r="G1" t="s">
        <v>99</v>
      </c>
      <c r="N1" t="s">
        <v>849</v>
      </c>
      <c r="V1" t="s">
        <v>848</v>
      </c>
      <c r="AE1" t="s">
        <v>847</v>
      </c>
      <c r="AN1" t="s">
        <v>847</v>
      </c>
      <c r="AY1" t="s">
        <v>846</v>
      </c>
    </row>
    <row r="2" spans="1:54" ht="16.5" thickTop="1" thickBot="1" x14ac:dyDescent="0.3">
      <c r="AE2" s="191" t="s">
        <v>825</v>
      </c>
      <c r="AF2" s="191" t="s">
        <v>6</v>
      </c>
      <c r="AG2" s="191" t="s">
        <v>183</v>
      </c>
      <c r="AH2" s="191" t="s">
        <v>37</v>
      </c>
      <c r="AI2" s="191" t="s">
        <v>113</v>
      </c>
      <c r="AJ2" s="191" t="s">
        <v>826</v>
      </c>
      <c r="AN2" s="191" t="s">
        <v>825</v>
      </c>
      <c r="AO2" s="191" t="s">
        <v>6</v>
      </c>
      <c r="AP2" s="191" t="s">
        <v>37</v>
      </c>
      <c r="AQ2" s="191" t="s">
        <v>113</v>
      </c>
    </row>
    <row r="3" spans="1:54" ht="16.5" thickTop="1" thickBot="1" x14ac:dyDescent="0.3">
      <c r="A3" s="445" t="s">
        <v>35</v>
      </c>
      <c r="B3" s="445" t="s">
        <v>52</v>
      </c>
      <c r="C3" s="445" t="s">
        <v>165</v>
      </c>
      <c r="D3" s="445" t="s">
        <v>166</v>
      </c>
      <c r="E3" s="445" t="s">
        <v>167</v>
      </c>
      <c r="G3" t="str">
        <f>IF(A3="","",A3)</f>
        <v>Subject</v>
      </c>
      <c r="H3" t="str">
        <f t="shared" ref="H3:H18" si="0">B3</f>
        <v>Before</v>
      </c>
      <c r="I3" t="str">
        <f t="shared" ref="I3:I18" si="1">C3</f>
        <v>1 week</v>
      </c>
      <c r="J3" t="str">
        <f t="shared" ref="J3:J18" si="2">D3</f>
        <v>2 weeks</v>
      </c>
      <c r="K3" t="str">
        <f t="shared" ref="K3:K18" si="3">E3</f>
        <v>3 weeks</v>
      </c>
      <c r="L3" s="445" t="s">
        <v>8</v>
      </c>
      <c r="N3" t="s">
        <v>84</v>
      </c>
      <c r="R3" t="s">
        <v>17</v>
      </c>
      <c r="S3">
        <v>0.05</v>
      </c>
      <c r="V3" t="str">
        <f>IF(A3="","",A3)</f>
        <v>Subject</v>
      </c>
      <c r="W3" t="str">
        <f>B3</f>
        <v>Before</v>
      </c>
      <c r="X3" t="str">
        <f>C3</f>
        <v>1 week</v>
      </c>
      <c r="Y3" t="str">
        <f>D3</f>
        <v>2 weeks</v>
      </c>
      <c r="Z3" t="str">
        <f>E3</f>
        <v>3 weeks</v>
      </c>
      <c r="AE3" s="458" t="str">
        <f t="array" ref="AE3:AE6">TRANSPOSE(B3:E3)</f>
        <v>Before</v>
      </c>
      <c r="AF3" s="458">
        <f>AVERAGE(B4:B18)</f>
        <v>12.533333333333333</v>
      </c>
      <c r="AG3" s="458"/>
      <c r="AH3" s="458"/>
      <c r="AI3" s="458"/>
      <c r="AJ3" s="458"/>
      <c r="AN3" s="458" t="str">
        <f t="array" ref="AN3:AN6">TRANSPOSE(B3:E3)</f>
        <v>Before</v>
      </c>
      <c r="AO3" s="458">
        <f>AVERAGE(B4:B18)</f>
        <v>12.533333333333333</v>
      </c>
      <c r="AP3" s="458"/>
      <c r="AQ3" s="458"/>
      <c r="AY3" s="191" t="s">
        <v>827</v>
      </c>
      <c r="AZ3" s="191" t="s">
        <v>828</v>
      </c>
      <c r="BA3" s="191" t="s">
        <v>43</v>
      </c>
      <c r="BB3" s="191" t="s">
        <v>6</v>
      </c>
    </row>
    <row r="4" spans="1:54" ht="15.75" thickTop="1" x14ac:dyDescent="0.25">
      <c r="A4" s="445">
        <v>1</v>
      </c>
      <c r="B4" s="467">
        <v>16</v>
      </c>
      <c r="C4" s="466">
        <v>22</v>
      </c>
      <c r="D4" s="466">
        <v>23</v>
      </c>
      <c r="E4" s="424">
        <v>25</v>
      </c>
      <c r="G4">
        <f t="shared" ref="G4:G18" si="4">A4</f>
        <v>1</v>
      </c>
      <c r="H4" s="446">
        <f t="shared" si="0"/>
        <v>16</v>
      </c>
      <c r="I4" s="447">
        <f t="shared" si="1"/>
        <v>22</v>
      </c>
      <c r="J4" s="447">
        <f t="shared" si="2"/>
        <v>23</v>
      </c>
      <c r="K4" s="448">
        <f t="shared" si="3"/>
        <v>25</v>
      </c>
      <c r="L4">
        <f t="shared" ref="L4:L18" si="5">AVERAGE(H4:K4)</f>
        <v>21.5</v>
      </c>
      <c r="N4" s="191" t="s">
        <v>100</v>
      </c>
      <c r="O4" s="191" t="s">
        <v>76</v>
      </c>
      <c r="P4" s="191" t="s">
        <v>37</v>
      </c>
      <c r="Q4" s="191" t="s">
        <v>78</v>
      </c>
      <c r="R4" s="191" t="s">
        <v>68</v>
      </c>
      <c r="S4" s="191" t="s">
        <v>101</v>
      </c>
      <c r="T4" s="191" t="s">
        <v>102</v>
      </c>
      <c r="V4" t="s">
        <v>114</v>
      </c>
      <c r="W4" s="465">
        <v>-0.5</v>
      </c>
      <c r="X4" s="464">
        <v>-0.25</v>
      </c>
      <c r="Y4" s="464">
        <v>-0.25</v>
      </c>
      <c r="Z4" s="463">
        <v>1</v>
      </c>
      <c r="AA4" s="462" t="s">
        <v>182</v>
      </c>
      <c r="AE4" s="7" t="str">
        <v>1 week</v>
      </c>
      <c r="AF4" s="7">
        <f>AVERAGE(C4:C18)</f>
        <v>18.333333333333332</v>
      </c>
      <c r="AG4" s="7"/>
      <c r="AH4" s="7"/>
      <c r="AI4" s="7"/>
      <c r="AJ4" s="7"/>
      <c r="AN4" s="7" t="str">
        <v>1 week</v>
      </c>
      <c r="AO4" s="7">
        <f>AVERAGE(C4:C18)</f>
        <v>18.333333333333332</v>
      </c>
      <c r="AP4" s="7"/>
      <c r="AQ4" s="7"/>
      <c r="AY4" t="str">
        <f>B3</f>
        <v>Before</v>
      </c>
      <c r="AZ4" t="str">
        <f>C3</f>
        <v>1 week</v>
      </c>
      <c r="BA4">
        <f>TTEST(B4:B18,C4:C18,2,1)</f>
        <v>1.6508655145159621E-5</v>
      </c>
      <c r="BB4">
        <f>ABS(AVERAGE(B4:B18)-AVERAGE(C4:C18))</f>
        <v>5.7999999999999989</v>
      </c>
    </row>
    <row r="5" spans="1:54" x14ac:dyDescent="0.25">
      <c r="A5" s="445">
        <f t="shared" ref="A5:A18" si="6">A4+1</f>
        <v>2</v>
      </c>
      <c r="B5" s="75">
        <v>12</v>
      </c>
      <c r="C5" s="308">
        <v>18</v>
      </c>
      <c r="D5" s="308">
        <v>24</v>
      </c>
      <c r="E5" s="72">
        <v>29</v>
      </c>
      <c r="G5">
        <f t="shared" si="4"/>
        <v>2</v>
      </c>
      <c r="H5" s="76">
        <f t="shared" si="0"/>
        <v>12</v>
      </c>
      <c r="I5" s="7">
        <f t="shared" si="1"/>
        <v>18</v>
      </c>
      <c r="J5" s="7">
        <f t="shared" si="2"/>
        <v>24</v>
      </c>
      <c r="K5" s="35">
        <f t="shared" si="3"/>
        <v>29</v>
      </c>
      <c r="L5">
        <f t="shared" si="5"/>
        <v>20.75</v>
      </c>
      <c r="N5" t="s">
        <v>145</v>
      </c>
      <c r="O5">
        <f>(P6+1)*DEVSQ(L4:L18)</f>
        <v>1938.4333333333334</v>
      </c>
      <c r="P5">
        <f>COUNT(H4:H18)-1</f>
        <v>14</v>
      </c>
      <c r="Q5">
        <f>O5/P5</f>
        <v>138.4595238095238</v>
      </c>
      <c r="R5">
        <f>Q5/Q7</f>
        <v>14.520099875156061</v>
      </c>
      <c r="S5">
        <f>FDIST(R5,P5,P7)</f>
        <v>8.1670607503918935E-12</v>
      </c>
      <c r="T5">
        <f>FINV(S3,P5,P7)</f>
        <v>1.9350088132446253</v>
      </c>
      <c r="V5">
        <f t="shared" ref="V5:V19" si="7">A4</f>
        <v>1</v>
      </c>
      <c r="W5" s="446">
        <f t="shared" ref="W5:W19" si="8">B4</f>
        <v>16</v>
      </c>
      <c r="X5" s="447">
        <f t="shared" ref="X5:X19" si="9">C4</f>
        <v>22</v>
      </c>
      <c r="Y5" s="447">
        <f t="shared" ref="Y5:Y19" si="10">D4</f>
        <v>23</v>
      </c>
      <c r="Z5" s="448">
        <f t="shared" ref="Z5:Z19" si="11">E4</f>
        <v>25</v>
      </c>
      <c r="AA5" s="453">
        <f t="shared" ref="AA5:AA19" si="12">SUMPRODUCT($W$4:$Z$4,W5:Z5)</f>
        <v>5.75</v>
      </c>
      <c r="AE5" s="7" t="str">
        <v>2 weeks</v>
      </c>
      <c r="AF5" s="7">
        <f>AVERAGE(D4:D18)</f>
        <v>19.933333333333334</v>
      </c>
      <c r="AG5" s="7"/>
      <c r="AH5" s="7"/>
      <c r="AI5" s="7"/>
      <c r="AJ5" s="7"/>
      <c r="AN5" s="7" t="str">
        <v>2 weeks</v>
      </c>
      <c r="AO5" s="7">
        <f>AVERAGE(D4:D18)</f>
        <v>19.933333333333334</v>
      </c>
      <c r="AP5" s="7"/>
      <c r="AQ5" s="7"/>
      <c r="AY5" t="str">
        <f>B3</f>
        <v>Before</v>
      </c>
      <c r="AZ5" t="str">
        <f>D3</f>
        <v>2 weeks</v>
      </c>
      <c r="BA5">
        <f>TTEST(B4:B18,D4:D18,2,1)</f>
        <v>1.2058246323385918E-4</v>
      </c>
      <c r="BB5">
        <f>ABS(AVERAGE(B4:B18)-AVERAGE(D4:D18))</f>
        <v>7.4</v>
      </c>
    </row>
    <row r="6" spans="1:54" x14ac:dyDescent="0.25">
      <c r="A6" s="445">
        <f t="shared" si="6"/>
        <v>3</v>
      </c>
      <c r="B6" s="75">
        <v>23</v>
      </c>
      <c r="C6" s="308">
        <v>24</v>
      </c>
      <c r="D6" s="308">
        <v>26</v>
      </c>
      <c r="E6" s="72">
        <v>27</v>
      </c>
      <c r="G6">
        <f t="shared" si="4"/>
        <v>3</v>
      </c>
      <c r="H6" s="76">
        <f t="shared" si="0"/>
        <v>23</v>
      </c>
      <c r="I6" s="7">
        <f t="shared" si="1"/>
        <v>24</v>
      </c>
      <c r="J6" s="7">
        <f t="shared" si="2"/>
        <v>26</v>
      </c>
      <c r="K6" s="35">
        <f t="shared" si="3"/>
        <v>27</v>
      </c>
      <c r="L6">
        <f t="shared" si="5"/>
        <v>25</v>
      </c>
      <c r="N6" t="s">
        <v>47</v>
      </c>
      <c r="O6">
        <f>(P5+1)*DEVSQ(H19:K19)</f>
        <v>833.25000000000023</v>
      </c>
      <c r="P6">
        <f>COUNT(H4:K4)-1</f>
        <v>3</v>
      </c>
      <c r="Q6">
        <f>O6/P6</f>
        <v>277.75000000000006</v>
      </c>
      <c r="R6">
        <f>Q6/Q7</f>
        <v>29.127340823970059</v>
      </c>
      <c r="S6">
        <f>FDIST(R6,P6,P7)</f>
        <v>2.3962181631669464E-10</v>
      </c>
      <c r="T6">
        <f>FINV(S3,P6,P7)</f>
        <v>2.8270487120861261</v>
      </c>
      <c r="V6">
        <f t="shared" si="7"/>
        <v>2</v>
      </c>
      <c r="W6" s="76">
        <f t="shared" si="8"/>
        <v>12</v>
      </c>
      <c r="X6" s="7">
        <f t="shared" si="9"/>
        <v>18</v>
      </c>
      <c r="Y6" s="7">
        <f t="shared" si="10"/>
        <v>24</v>
      </c>
      <c r="Z6" s="35">
        <f t="shared" si="11"/>
        <v>29</v>
      </c>
      <c r="AA6" s="173">
        <f t="shared" si="12"/>
        <v>12.5</v>
      </c>
      <c r="AE6" s="353" t="str">
        <v>3 weeks</v>
      </c>
      <c r="AF6" s="353">
        <f>AVERAGE(E4:E18)</f>
        <v>22.733333333333334</v>
      </c>
      <c r="AG6" s="353"/>
      <c r="AH6" s="353"/>
      <c r="AI6" s="353"/>
      <c r="AJ6" s="353"/>
      <c r="AN6" s="353" t="str">
        <v>3 weeks</v>
      </c>
      <c r="AO6" s="353">
        <f>AVERAGE(E4:E18)</f>
        <v>22.733333333333334</v>
      </c>
      <c r="AP6" s="353"/>
      <c r="AQ6" s="353"/>
      <c r="AY6" t="str">
        <f>B3</f>
        <v>Before</v>
      </c>
      <c r="AZ6" t="str">
        <f>E3</f>
        <v>3 weeks</v>
      </c>
      <c r="BA6">
        <f>TTEST(B4:B18,E4:E18,2,1)</f>
        <v>7.6364629723871707E-6</v>
      </c>
      <c r="BB6">
        <f>ABS(AVERAGE(B4:B18)-AVERAGE(E4:E18))</f>
        <v>10.200000000000001</v>
      </c>
    </row>
    <row r="7" spans="1:54" x14ac:dyDescent="0.25">
      <c r="A7" s="445">
        <f t="shared" si="6"/>
        <v>4</v>
      </c>
      <c r="B7" s="75">
        <v>8</v>
      </c>
      <c r="C7" s="308">
        <v>20</v>
      </c>
      <c r="D7" s="308">
        <v>28</v>
      </c>
      <c r="E7" s="72">
        <v>30</v>
      </c>
      <c r="G7">
        <f t="shared" si="4"/>
        <v>4</v>
      </c>
      <c r="H7" s="76">
        <f t="shared" si="0"/>
        <v>8</v>
      </c>
      <c r="I7" s="7">
        <f t="shared" si="1"/>
        <v>20</v>
      </c>
      <c r="J7" s="7">
        <f t="shared" si="2"/>
        <v>28</v>
      </c>
      <c r="K7" s="35">
        <f t="shared" si="3"/>
        <v>30</v>
      </c>
      <c r="L7">
        <f t="shared" si="5"/>
        <v>21.5</v>
      </c>
      <c r="N7" t="s">
        <v>122</v>
      </c>
      <c r="O7">
        <f>O8-O5-O6</f>
        <v>400.49999999999977</v>
      </c>
      <c r="P7">
        <f>P8-P5-P6</f>
        <v>42</v>
      </c>
      <c r="Q7">
        <f>O7/P7</f>
        <v>9.5357142857142811</v>
      </c>
      <c r="V7">
        <f t="shared" si="7"/>
        <v>3</v>
      </c>
      <c r="W7" s="76">
        <f t="shared" si="8"/>
        <v>23</v>
      </c>
      <c r="X7" s="7">
        <f t="shared" si="9"/>
        <v>24</v>
      </c>
      <c r="Y7" s="7">
        <f t="shared" si="10"/>
        <v>26</v>
      </c>
      <c r="Z7" s="35">
        <f t="shared" si="11"/>
        <v>27</v>
      </c>
      <c r="AA7" s="173">
        <f t="shared" si="12"/>
        <v>3</v>
      </c>
      <c r="AG7" t="e">
        <f ca="1">SQRT(MSWF(B4:E18,1)/COUNT(B4:B18))</f>
        <v>#NAME?</v>
      </c>
      <c r="AH7" t="e">
        <f ca="1">dfWF(B4:E18,1)</f>
        <v>#NAME?</v>
      </c>
      <c r="AI7" t="e">
        <f ca="1">QCRIT(COUNT(AF3:AF6),AH7,AL8,2)</f>
        <v>#NAME?</v>
      </c>
      <c r="AJ7" t="e">
        <f ca="1">AG7*AI7</f>
        <v>#NAME?</v>
      </c>
      <c r="AP7" t="e">
        <f ca="1">dfWF(B4:E18,1)</f>
        <v>#NAME?</v>
      </c>
      <c r="AQ7" t="e">
        <f ca="1">QCRIT(COUNT(AO3:AO6),AP7,AU8,2)</f>
        <v>#NAME?</v>
      </c>
      <c r="AY7" t="str">
        <f>C3</f>
        <v>1 week</v>
      </c>
      <c r="AZ7" t="str">
        <f>D3</f>
        <v>2 weeks</v>
      </c>
      <c r="BA7">
        <f>TTEST(C4:C18,D4:D18,2,1)</f>
        <v>0.17211677925517038</v>
      </c>
      <c r="BB7">
        <f>ABS(AVERAGE(C4:C18)-AVERAGE(D4:D18))</f>
        <v>1.6000000000000014</v>
      </c>
    </row>
    <row r="8" spans="1:54" ht="15.75" thickBot="1" x14ac:dyDescent="0.3">
      <c r="A8" s="445">
        <f t="shared" si="6"/>
        <v>5</v>
      </c>
      <c r="B8" s="75">
        <v>3</v>
      </c>
      <c r="C8" s="308">
        <v>12</v>
      </c>
      <c r="D8" s="308">
        <v>13</v>
      </c>
      <c r="E8" s="72">
        <v>17</v>
      </c>
      <c r="G8">
        <f t="shared" si="4"/>
        <v>5</v>
      </c>
      <c r="H8" s="76">
        <f t="shared" si="0"/>
        <v>3</v>
      </c>
      <c r="I8" s="7">
        <f t="shared" si="1"/>
        <v>12</v>
      </c>
      <c r="J8" s="7">
        <f t="shared" si="2"/>
        <v>13</v>
      </c>
      <c r="K8" s="35">
        <f t="shared" si="3"/>
        <v>17</v>
      </c>
      <c r="L8">
        <f t="shared" si="5"/>
        <v>11.25</v>
      </c>
      <c r="N8" t="s">
        <v>1</v>
      </c>
      <c r="O8">
        <f>DEVSQ(H4:K18)</f>
        <v>3172.1833333333334</v>
      </c>
      <c r="P8">
        <f>(P5+1)*(P6+1)-1</f>
        <v>59</v>
      </c>
      <c r="V8">
        <f t="shared" si="7"/>
        <v>4</v>
      </c>
      <c r="W8" s="76">
        <f t="shared" si="8"/>
        <v>8</v>
      </c>
      <c r="X8" s="7">
        <f t="shared" si="9"/>
        <v>20</v>
      </c>
      <c r="Y8" s="7">
        <f t="shared" si="10"/>
        <v>28</v>
      </c>
      <c r="Z8" s="35">
        <f t="shared" si="11"/>
        <v>30</v>
      </c>
      <c r="AA8" s="173">
        <f t="shared" si="12"/>
        <v>14</v>
      </c>
      <c r="AE8" t="s">
        <v>498</v>
      </c>
      <c r="AK8" s="445" t="s">
        <v>58</v>
      </c>
      <c r="AL8">
        <v>0.05</v>
      </c>
      <c r="AN8" t="s">
        <v>498</v>
      </c>
      <c r="AT8" s="445" t="s">
        <v>58</v>
      </c>
      <c r="AU8">
        <v>0.05</v>
      </c>
      <c r="AY8" t="str">
        <f>C3</f>
        <v>1 week</v>
      </c>
      <c r="AZ8" t="str">
        <f>E3</f>
        <v>3 weeks</v>
      </c>
      <c r="BA8">
        <f>TTEST(C4:C18,E4:E18,2,1)</f>
        <v>1.7508261818289068E-3</v>
      </c>
      <c r="BB8">
        <f>ABS(AVERAGE(C4:C18)-AVERAGE(E4:E18))</f>
        <v>4.4000000000000021</v>
      </c>
    </row>
    <row r="9" spans="1:54" ht="15.75" thickTop="1" x14ac:dyDescent="0.25">
      <c r="A9" s="445">
        <f t="shared" si="6"/>
        <v>6</v>
      </c>
      <c r="B9" s="75">
        <v>5</v>
      </c>
      <c r="C9" s="308">
        <v>13</v>
      </c>
      <c r="D9" s="308">
        <v>11</v>
      </c>
      <c r="E9" s="72">
        <v>15</v>
      </c>
      <c r="G9">
        <f t="shared" si="4"/>
        <v>6</v>
      </c>
      <c r="H9" s="76">
        <f t="shared" si="0"/>
        <v>5</v>
      </c>
      <c r="I9" s="7">
        <f t="shared" si="1"/>
        <v>13</v>
      </c>
      <c r="J9" s="7">
        <f t="shared" si="2"/>
        <v>11</v>
      </c>
      <c r="K9" s="35">
        <f t="shared" si="3"/>
        <v>15</v>
      </c>
      <c r="L9">
        <f t="shared" si="5"/>
        <v>11</v>
      </c>
      <c r="N9" s="458"/>
      <c r="O9" s="458"/>
      <c r="P9" s="458"/>
      <c r="Q9" s="458"/>
      <c r="R9" s="458"/>
      <c r="S9" s="458"/>
      <c r="T9" s="458"/>
      <c r="V9">
        <f t="shared" si="7"/>
        <v>5</v>
      </c>
      <c r="W9" s="76">
        <f t="shared" si="8"/>
        <v>3</v>
      </c>
      <c r="X9" s="7">
        <f t="shared" si="9"/>
        <v>12</v>
      </c>
      <c r="Y9" s="7">
        <f t="shared" si="10"/>
        <v>13</v>
      </c>
      <c r="Z9" s="35">
        <f t="shared" si="11"/>
        <v>17</v>
      </c>
      <c r="AA9" s="173">
        <f t="shared" si="12"/>
        <v>9.25</v>
      </c>
      <c r="AE9" s="191" t="s">
        <v>827</v>
      </c>
      <c r="AF9" s="191" t="s">
        <v>828</v>
      </c>
      <c r="AG9" s="191" t="s">
        <v>6</v>
      </c>
      <c r="AH9" s="191" t="s">
        <v>497</v>
      </c>
      <c r="AI9" s="191" t="s">
        <v>14</v>
      </c>
      <c r="AJ9" s="191" t="s">
        <v>15</v>
      </c>
      <c r="AK9" s="191" t="s">
        <v>43</v>
      </c>
      <c r="AL9" s="191" t="s">
        <v>41</v>
      </c>
      <c r="AN9" s="191" t="s">
        <v>827</v>
      </c>
      <c r="AO9" s="191" t="s">
        <v>828</v>
      </c>
      <c r="AP9" s="191" t="s">
        <v>6</v>
      </c>
      <c r="AQ9" s="191" t="s">
        <v>183</v>
      </c>
      <c r="AR9" s="191" t="s">
        <v>497</v>
      </c>
      <c r="AS9" s="191" t="s">
        <v>14</v>
      </c>
      <c r="AT9" s="191" t="s">
        <v>15</v>
      </c>
      <c r="AU9" s="191" t="s">
        <v>43</v>
      </c>
      <c r="AV9" s="191" t="s">
        <v>826</v>
      </c>
      <c r="AW9" s="191" t="s">
        <v>41</v>
      </c>
      <c r="AY9" s="353" t="str">
        <f>D3</f>
        <v>2 weeks</v>
      </c>
      <c r="AZ9" s="353" t="str">
        <f>E3</f>
        <v>3 weeks</v>
      </c>
      <c r="BA9" s="353">
        <f>TTEST(D4:D18,E4:E18,2,1)</f>
        <v>1.8513365093508265E-7</v>
      </c>
      <c r="BB9" s="353">
        <f>ABS(AVERAGE(D4:D18)-AVERAGE(E4:E18))</f>
        <v>2.8000000000000007</v>
      </c>
    </row>
    <row r="10" spans="1:54" ht="15.75" thickBot="1" x14ac:dyDescent="0.3">
      <c r="A10" s="445">
        <f t="shared" si="6"/>
        <v>7</v>
      </c>
      <c r="B10" s="75">
        <v>19</v>
      </c>
      <c r="C10" s="308">
        <v>22</v>
      </c>
      <c r="D10" s="308">
        <v>25</v>
      </c>
      <c r="E10" s="72">
        <v>26</v>
      </c>
      <c r="G10">
        <f t="shared" si="4"/>
        <v>7</v>
      </c>
      <c r="H10" s="76">
        <f t="shared" si="0"/>
        <v>19</v>
      </c>
      <c r="I10" s="7">
        <f t="shared" si="1"/>
        <v>22</v>
      </c>
      <c r="J10" s="7">
        <f t="shared" si="2"/>
        <v>25</v>
      </c>
      <c r="K10" s="35">
        <f t="shared" si="3"/>
        <v>26</v>
      </c>
      <c r="L10">
        <f t="shared" si="5"/>
        <v>23</v>
      </c>
      <c r="N10" t="s">
        <v>160</v>
      </c>
      <c r="R10" t="s">
        <v>17</v>
      </c>
      <c r="S10">
        <v>0.05</v>
      </c>
      <c r="V10">
        <f t="shared" si="7"/>
        <v>6</v>
      </c>
      <c r="W10" s="76">
        <f t="shared" si="8"/>
        <v>5</v>
      </c>
      <c r="X10" s="7">
        <f t="shared" si="9"/>
        <v>13</v>
      </c>
      <c r="Y10" s="7">
        <f t="shared" si="10"/>
        <v>11</v>
      </c>
      <c r="Z10" s="35">
        <f t="shared" si="11"/>
        <v>15</v>
      </c>
      <c r="AA10" s="173">
        <f t="shared" si="12"/>
        <v>6.5</v>
      </c>
      <c r="AE10" s="458" t="str">
        <f>AE3</f>
        <v>Before</v>
      </c>
      <c r="AF10" s="458" t="str">
        <f>AE4</f>
        <v>1 week</v>
      </c>
      <c r="AG10" s="458">
        <f>ABS(AF3-AF4)</f>
        <v>5.7999999999999989</v>
      </c>
      <c r="AH10" s="458" t="e">
        <f t="shared" ref="AH10:AH15" ca="1" si="13">AG10/AG$7</f>
        <v>#NAME?</v>
      </c>
      <c r="AI10" s="458" t="e">
        <f t="shared" ref="AI10:AI15" ca="1" si="14">AG10-AJ$7</f>
        <v>#NAME?</v>
      </c>
      <c r="AJ10" s="458" t="e">
        <f t="shared" ref="AJ10:AJ15" ca="1" si="15">AG10+AJ$7</f>
        <v>#NAME?</v>
      </c>
      <c r="AK10" s="458" t="e">
        <f ca="1">QDIST(AH10,COUNT(AF$3:AF$6),AH$7)</f>
        <v>#NAME?</v>
      </c>
      <c r="AL10" s="458" t="e">
        <f t="shared" ref="AL10:AL15" ca="1" si="16">AH10/SQRT(COUNT(B$4:B$18))</f>
        <v>#NAME?</v>
      </c>
      <c r="AN10" s="458" t="str">
        <f>AN3</f>
        <v>Before</v>
      </c>
      <c r="AO10" s="458" t="str">
        <f>AN4</f>
        <v>1 week</v>
      </c>
      <c r="AP10" s="458">
        <f>ABS(AO3-AO4)</f>
        <v>5.7999999999999989</v>
      </c>
      <c r="AQ10" s="458" t="e">
        <f t="array" aca="1" ref="AQ10" ca="1">STDERR(B4:B18-C4:C18)</f>
        <v>#NAME?</v>
      </c>
      <c r="AR10" s="458" t="e">
        <f t="shared" ref="AR10:AR15" ca="1" si="17">AP10/AQ10</f>
        <v>#NAME?</v>
      </c>
      <c r="AS10" s="458" t="e">
        <f t="shared" ref="AS10:AS15" ca="1" si="18">AP10-AV10</f>
        <v>#NAME?</v>
      </c>
      <c r="AT10" s="458" t="e">
        <f t="shared" ref="AT10:AT15" ca="1" si="19">AP10+AV10</f>
        <v>#NAME?</v>
      </c>
      <c r="AU10" s="458" t="e">
        <f ca="1">QDIST(AR10,COUNT(AO$3:AO$6),AP$7)</f>
        <v>#NAME?</v>
      </c>
      <c r="AV10" s="458" t="e">
        <f t="shared" ref="AV10:AV15" ca="1" si="20">AQ10*AQ$7</f>
        <v>#NAME?</v>
      </c>
      <c r="AW10" s="458" t="e">
        <f t="shared" ref="AW10:AW15" ca="1" si="21">AR10/SQRT(COUNT(B$4:B$18))</f>
        <v>#NAME?</v>
      </c>
    </row>
    <row r="11" spans="1:54" ht="15.75" thickTop="1" x14ac:dyDescent="0.25">
      <c r="A11" s="445">
        <f t="shared" si="6"/>
        <v>8</v>
      </c>
      <c r="B11" s="75">
        <v>22</v>
      </c>
      <c r="C11" s="308">
        <v>22</v>
      </c>
      <c r="D11" s="308">
        <v>23</v>
      </c>
      <c r="E11" s="72">
        <v>26</v>
      </c>
      <c r="G11">
        <f t="shared" si="4"/>
        <v>8</v>
      </c>
      <c r="H11" s="76">
        <f t="shared" si="0"/>
        <v>22</v>
      </c>
      <c r="I11" s="7">
        <f t="shared" si="1"/>
        <v>22</v>
      </c>
      <c r="J11" s="7">
        <f t="shared" si="2"/>
        <v>23</v>
      </c>
      <c r="K11" s="35">
        <f t="shared" si="3"/>
        <v>26</v>
      </c>
      <c r="L11">
        <f t="shared" si="5"/>
        <v>23.25</v>
      </c>
      <c r="N11" s="191" t="s">
        <v>100</v>
      </c>
      <c r="O11" s="191" t="s">
        <v>76</v>
      </c>
      <c r="P11" s="191" t="s">
        <v>37</v>
      </c>
      <c r="Q11" s="191" t="s">
        <v>78</v>
      </c>
      <c r="R11" s="191" t="s">
        <v>68</v>
      </c>
      <c r="S11" s="191" t="s">
        <v>101</v>
      </c>
      <c r="T11" s="191" t="s">
        <v>102</v>
      </c>
      <c r="V11">
        <f t="shared" si="7"/>
        <v>7</v>
      </c>
      <c r="W11" s="76">
        <f t="shared" si="8"/>
        <v>19</v>
      </c>
      <c r="X11" s="7">
        <f t="shared" si="9"/>
        <v>22</v>
      </c>
      <c r="Y11" s="7">
        <f t="shared" si="10"/>
        <v>25</v>
      </c>
      <c r="Z11" s="35">
        <f t="shared" si="11"/>
        <v>26</v>
      </c>
      <c r="AA11" s="173">
        <f t="shared" si="12"/>
        <v>4.75</v>
      </c>
      <c r="AE11" s="7" t="str">
        <f>AE3</f>
        <v>Before</v>
      </c>
      <c r="AF11" s="7" t="str">
        <f>AE5</f>
        <v>2 weeks</v>
      </c>
      <c r="AG11" s="7">
        <f>ABS(AF3-AF5)</f>
        <v>7.4</v>
      </c>
      <c r="AH11" s="7" t="e">
        <f t="shared" ca="1" si="13"/>
        <v>#NAME?</v>
      </c>
      <c r="AI11" s="7" t="e">
        <f t="shared" ca="1" si="14"/>
        <v>#NAME?</v>
      </c>
      <c r="AJ11" s="7" t="e">
        <f t="shared" ca="1" si="15"/>
        <v>#NAME?</v>
      </c>
      <c r="AK11" s="7" t="e">
        <f ca="1">QDIST(AH11,COUNT(AF$3:AF$6),AH$7)</f>
        <v>#NAME?</v>
      </c>
      <c r="AL11" s="7" t="e">
        <f t="shared" ca="1" si="16"/>
        <v>#NAME?</v>
      </c>
      <c r="AN11" s="7" t="str">
        <f>AN3</f>
        <v>Before</v>
      </c>
      <c r="AO11" s="7" t="str">
        <f>AN5</f>
        <v>2 weeks</v>
      </c>
      <c r="AP11" s="7">
        <f>ABS(AO3-AO5)</f>
        <v>7.4</v>
      </c>
      <c r="AQ11" s="7" t="e">
        <f t="array" aca="1" ref="AQ11" ca="1">STDERR(B4:B18-D4:D18)</f>
        <v>#NAME?</v>
      </c>
      <c r="AR11" s="7" t="e">
        <f t="shared" ca="1" si="17"/>
        <v>#NAME?</v>
      </c>
      <c r="AS11" s="7" t="e">
        <f t="shared" ca="1" si="18"/>
        <v>#NAME?</v>
      </c>
      <c r="AT11" s="7" t="e">
        <f t="shared" ca="1" si="19"/>
        <v>#NAME?</v>
      </c>
      <c r="AU11" s="7" t="e">
        <f ca="1">QDIST(AR11,COUNT(AO$3:AO$6),AP$7)</f>
        <v>#NAME?</v>
      </c>
      <c r="AV11" s="7" t="e">
        <f t="shared" ca="1" si="20"/>
        <v>#NAME?</v>
      </c>
      <c r="AW11" s="7" t="e">
        <f t="shared" ca="1" si="21"/>
        <v>#NAME?</v>
      </c>
    </row>
    <row r="12" spans="1:54" x14ac:dyDescent="0.25">
      <c r="A12" s="445">
        <f t="shared" si="6"/>
        <v>9</v>
      </c>
      <c r="B12" s="75">
        <v>12</v>
      </c>
      <c r="C12" s="308">
        <v>20</v>
      </c>
      <c r="D12" s="308">
        <v>22</v>
      </c>
      <c r="E12" s="72">
        <v>24</v>
      </c>
      <c r="G12">
        <f t="shared" si="4"/>
        <v>9</v>
      </c>
      <c r="H12" s="76">
        <f t="shared" si="0"/>
        <v>12</v>
      </c>
      <c r="I12" s="7">
        <f t="shared" si="1"/>
        <v>20</v>
      </c>
      <c r="J12" s="7">
        <f t="shared" si="2"/>
        <v>22</v>
      </c>
      <c r="K12" s="35">
        <f t="shared" si="3"/>
        <v>24</v>
      </c>
      <c r="L12">
        <f t="shared" si="5"/>
        <v>19.5</v>
      </c>
      <c r="N12" t="s">
        <v>47</v>
      </c>
      <c r="O12">
        <f>O6</f>
        <v>833.25000000000023</v>
      </c>
      <c r="P12" t="e">
        <f ca="1">P6*H22</f>
        <v>#NAME?</v>
      </c>
      <c r="Q12" t="e">
        <f ca="1">O12/P12</f>
        <v>#NAME?</v>
      </c>
      <c r="R12" t="e">
        <f ca="1">Q12/Q13</f>
        <v>#NAME?</v>
      </c>
      <c r="S12" t="e">
        <f ca="1">F_DIST_RT(R12,P12,P13)</f>
        <v>#NAME?</v>
      </c>
      <c r="T12" t="e">
        <f ca="1">F_INV_RT(S10,P12,P13)</f>
        <v>#NAME?</v>
      </c>
      <c r="V12">
        <f t="shared" si="7"/>
        <v>8</v>
      </c>
      <c r="W12" s="76">
        <f t="shared" si="8"/>
        <v>22</v>
      </c>
      <c r="X12" s="7">
        <f t="shared" si="9"/>
        <v>22</v>
      </c>
      <c r="Y12" s="7">
        <f t="shared" si="10"/>
        <v>23</v>
      </c>
      <c r="Z12" s="35">
        <f t="shared" si="11"/>
        <v>26</v>
      </c>
      <c r="AA12" s="173">
        <f t="shared" si="12"/>
        <v>3.75</v>
      </c>
      <c r="AE12" s="7" t="str">
        <f>AE3</f>
        <v>Before</v>
      </c>
      <c r="AF12" s="7" t="str">
        <f>AE6</f>
        <v>3 weeks</v>
      </c>
      <c r="AG12" s="7">
        <f>ABS(AF3-AF6)</f>
        <v>10.200000000000001</v>
      </c>
      <c r="AH12" s="7" t="e">
        <f t="shared" ca="1" si="13"/>
        <v>#NAME?</v>
      </c>
      <c r="AI12" s="7" t="e">
        <f t="shared" ca="1" si="14"/>
        <v>#NAME?</v>
      </c>
      <c r="AJ12" s="7" t="e">
        <f t="shared" ca="1" si="15"/>
        <v>#NAME?</v>
      </c>
      <c r="AK12" s="7" t="e">
        <f ca="1">QDIST(AH12,COUNT(AF$3:AF$6),AH$7)</f>
        <v>#NAME?</v>
      </c>
      <c r="AL12" s="7" t="e">
        <f t="shared" ca="1" si="16"/>
        <v>#NAME?</v>
      </c>
      <c r="AN12" s="7" t="str">
        <f>AN3</f>
        <v>Before</v>
      </c>
      <c r="AO12" s="7" t="str">
        <f>AN6</f>
        <v>3 weeks</v>
      </c>
      <c r="AP12" s="7">
        <f>ABS(AO3-AO6)</f>
        <v>10.200000000000001</v>
      </c>
      <c r="AQ12" s="7" t="e">
        <f t="array" aca="1" ref="AQ12" ca="1">STDERR(B4:B18-E4:E18)</f>
        <v>#NAME?</v>
      </c>
      <c r="AR12" s="7" t="e">
        <f t="shared" ca="1" si="17"/>
        <v>#NAME?</v>
      </c>
      <c r="AS12" s="7" t="e">
        <f t="shared" ca="1" si="18"/>
        <v>#NAME?</v>
      </c>
      <c r="AT12" s="7" t="e">
        <f t="shared" ca="1" si="19"/>
        <v>#NAME?</v>
      </c>
      <c r="AU12" s="7" t="e">
        <f ca="1">QDIST(AR12,COUNT(AO$3:AO$6),AP$7)</f>
        <v>#NAME?</v>
      </c>
      <c r="AV12" s="7" t="e">
        <f t="shared" ca="1" si="20"/>
        <v>#NAME?</v>
      </c>
      <c r="AW12" s="7" t="e">
        <f t="shared" ca="1" si="21"/>
        <v>#NAME?</v>
      </c>
    </row>
    <row r="13" spans="1:54" x14ac:dyDescent="0.25">
      <c r="A13" s="445">
        <f t="shared" si="6"/>
        <v>10</v>
      </c>
      <c r="B13" s="75">
        <v>16</v>
      </c>
      <c r="C13" s="308">
        <v>22</v>
      </c>
      <c r="D13" s="308">
        <v>26</v>
      </c>
      <c r="E13" s="72">
        <v>29</v>
      </c>
      <c r="G13">
        <f t="shared" si="4"/>
        <v>10</v>
      </c>
      <c r="H13" s="76">
        <f t="shared" si="0"/>
        <v>16</v>
      </c>
      <c r="I13" s="7">
        <f t="shared" si="1"/>
        <v>22</v>
      </c>
      <c r="J13" s="7">
        <f t="shared" si="2"/>
        <v>26</v>
      </c>
      <c r="K13" s="35">
        <f t="shared" si="3"/>
        <v>29</v>
      </c>
      <c r="L13">
        <f t="shared" si="5"/>
        <v>23.25</v>
      </c>
      <c r="N13" t="s">
        <v>122</v>
      </c>
      <c r="O13">
        <f>O7</f>
        <v>400.49999999999977</v>
      </c>
      <c r="P13" t="e">
        <f ca="1">P7*H22</f>
        <v>#NAME?</v>
      </c>
      <c r="Q13" t="e">
        <f ca="1">O13/P13</f>
        <v>#NAME?</v>
      </c>
      <c r="V13">
        <f t="shared" si="7"/>
        <v>9</v>
      </c>
      <c r="W13" s="76">
        <f t="shared" si="8"/>
        <v>12</v>
      </c>
      <c r="X13" s="7">
        <f t="shared" si="9"/>
        <v>20</v>
      </c>
      <c r="Y13" s="7">
        <f t="shared" si="10"/>
        <v>22</v>
      </c>
      <c r="Z13" s="35">
        <f t="shared" si="11"/>
        <v>24</v>
      </c>
      <c r="AA13" s="173">
        <f t="shared" si="12"/>
        <v>7.5</v>
      </c>
      <c r="AE13" s="7" t="str">
        <f>AE4</f>
        <v>1 week</v>
      </c>
      <c r="AF13" s="7" t="str">
        <f>AE5</f>
        <v>2 weeks</v>
      </c>
      <c r="AG13" s="7">
        <f>ABS(AF4-AF5)</f>
        <v>1.6000000000000014</v>
      </c>
      <c r="AH13" s="7" t="e">
        <f t="shared" ca="1" si="13"/>
        <v>#NAME?</v>
      </c>
      <c r="AI13" s="7" t="e">
        <f t="shared" ca="1" si="14"/>
        <v>#NAME?</v>
      </c>
      <c r="AJ13" s="7" t="e">
        <f t="shared" ca="1" si="15"/>
        <v>#NAME?</v>
      </c>
      <c r="AK13" s="7" t="e">
        <f ca="1">QDIST(AH13,COUNT(AF$3:AF$6),AH$7)</f>
        <v>#NAME?</v>
      </c>
      <c r="AL13" s="7" t="e">
        <f t="shared" ca="1" si="16"/>
        <v>#NAME?</v>
      </c>
      <c r="AN13" s="7" t="str">
        <f>AN4</f>
        <v>1 week</v>
      </c>
      <c r="AO13" s="7" t="str">
        <f>AN5</f>
        <v>2 weeks</v>
      </c>
      <c r="AP13" s="7">
        <f>ABS(AO4-AO5)</f>
        <v>1.6000000000000014</v>
      </c>
      <c r="AQ13" s="7" t="e">
        <f t="array" aca="1" ref="AQ13" ca="1">STDERR(C4:C18-D4:D18)</f>
        <v>#NAME?</v>
      </c>
      <c r="AR13" s="7" t="e">
        <f t="shared" ca="1" si="17"/>
        <v>#NAME?</v>
      </c>
      <c r="AS13" s="7" t="e">
        <f t="shared" ca="1" si="18"/>
        <v>#NAME?</v>
      </c>
      <c r="AT13" s="7" t="e">
        <f t="shared" ca="1" si="19"/>
        <v>#NAME?</v>
      </c>
      <c r="AU13" s="7" t="e">
        <f ca="1">QDIST(AR13,COUNT(AO$3:AO$6),AP$7)</f>
        <v>#NAME?</v>
      </c>
      <c r="AV13" s="7" t="e">
        <f t="shared" ca="1" si="20"/>
        <v>#NAME?</v>
      </c>
      <c r="AW13" s="7" t="e">
        <f t="shared" ca="1" si="21"/>
        <v>#NAME?</v>
      </c>
    </row>
    <row r="14" spans="1:54" x14ac:dyDescent="0.25">
      <c r="A14" s="445">
        <f t="shared" si="6"/>
        <v>11</v>
      </c>
      <c r="B14" s="75">
        <v>14</v>
      </c>
      <c r="C14" s="308">
        <v>25</v>
      </c>
      <c r="D14" s="308">
        <v>18</v>
      </c>
      <c r="E14" s="72">
        <v>21</v>
      </c>
      <c r="G14">
        <f t="shared" si="4"/>
        <v>11</v>
      </c>
      <c r="H14" s="76">
        <f t="shared" si="0"/>
        <v>14</v>
      </c>
      <c r="I14" s="7">
        <f t="shared" si="1"/>
        <v>25</v>
      </c>
      <c r="J14" s="7">
        <f t="shared" si="2"/>
        <v>18</v>
      </c>
      <c r="K14" s="35">
        <f t="shared" si="3"/>
        <v>21</v>
      </c>
      <c r="L14">
        <f t="shared" si="5"/>
        <v>19.5</v>
      </c>
      <c r="N14" s="458"/>
      <c r="O14" s="458"/>
      <c r="P14" s="458"/>
      <c r="Q14" s="458"/>
      <c r="R14" s="458"/>
      <c r="S14" s="458"/>
      <c r="T14" s="458"/>
      <c r="V14">
        <f t="shared" si="7"/>
        <v>10</v>
      </c>
      <c r="W14" s="76">
        <f t="shared" si="8"/>
        <v>16</v>
      </c>
      <c r="X14" s="7">
        <f t="shared" si="9"/>
        <v>22</v>
      </c>
      <c r="Y14" s="7">
        <f t="shared" si="10"/>
        <v>26</v>
      </c>
      <c r="Z14" s="35">
        <f t="shared" si="11"/>
        <v>29</v>
      </c>
      <c r="AA14" s="173">
        <f t="shared" si="12"/>
        <v>9</v>
      </c>
      <c r="AE14" s="7" t="str">
        <f>AE4</f>
        <v>1 week</v>
      </c>
      <c r="AF14" s="7" t="str">
        <f>AE6</f>
        <v>3 weeks</v>
      </c>
      <c r="AG14" s="7">
        <f>ABS(AF4-AF6)</f>
        <v>4.4000000000000021</v>
      </c>
      <c r="AH14" s="7" t="e">
        <f t="shared" ca="1" si="13"/>
        <v>#NAME?</v>
      </c>
      <c r="AI14" s="7" t="e">
        <f t="shared" ca="1" si="14"/>
        <v>#NAME?</v>
      </c>
      <c r="AJ14" s="7" t="e">
        <f t="shared" ca="1" si="15"/>
        <v>#NAME?</v>
      </c>
      <c r="AK14" s="7" t="e">
        <f ca="1">QDIST(AH14,COUNT(AF$3:AF$6),AH$7)</f>
        <v>#NAME?</v>
      </c>
      <c r="AL14" s="7" t="e">
        <f t="shared" ca="1" si="16"/>
        <v>#NAME?</v>
      </c>
      <c r="AN14" s="7" t="str">
        <f>AN4</f>
        <v>1 week</v>
      </c>
      <c r="AO14" s="7" t="str">
        <f>AN6</f>
        <v>3 weeks</v>
      </c>
      <c r="AP14" s="7">
        <f>ABS(AO4-AO6)</f>
        <v>4.4000000000000021</v>
      </c>
      <c r="AQ14" s="7" t="e">
        <f t="array" aca="1" ref="AQ14" ca="1">STDERR(C4:C18-E4:E18)</f>
        <v>#NAME?</v>
      </c>
      <c r="AR14" s="7" t="e">
        <f t="shared" ca="1" si="17"/>
        <v>#NAME?</v>
      </c>
      <c r="AS14" s="7" t="e">
        <f t="shared" ca="1" si="18"/>
        <v>#NAME?</v>
      </c>
      <c r="AT14" s="7" t="e">
        <f t="shared" ca="1" si="19"/>
        <v>#NAME?</v>
      </c>
      <c r="AU14" s="7" t="e">
        <f ca="1">QDIST(AR14,COUNT(AO$3:AO$6),AP$7)</f>
        <v>#NAME?</v>
      </c>
      <c r="AV14" s="7" t="e">
        <f t="shared" ca="1" si="20"/>
        <v>#NAME?</v>
      </c>
      <c r="AW14" s="7" t="e">
        <f t="shared" ca="1" si="21"/>
        <v>#NAME?</v>
      </c>
    </row>
    <row r="15" spans="1:54" ht="15.75" thickBot="1" x14ac:dyDescent="0.3">
      <c r="A15" s="445">
        <f t="shared" si="6"/>
        <v>12</v>
      </c>
      <c r="B15" s="75">
        <v>24</v>
      </c>
      <c r="C15" s="308">
        <v>26</v>
      </c>
      <c r="D15" s="308">
        <v>21</v>
      </c>
      <c r="E15" s="72">
        <v>23</v>
      </c>
      <c r="G15">
        <f t="shared" si="4"/>
        <v>12</v>
      </c>
      <c r="H15" s="76">
        <f t="shared" si="0"/>
        <v>24</v>
      </c>
      <c r="I15" s="7">
        <f t="shared" si="1"/>
        <v>26</v>
      </c>
      <c r="J15" s="7">
        <f t="shared" si="2"/>
        <v>21</v>
      </c>
      <c r="K15" s="35">
        <f t="shared" si="3"/>
        <v>23</v>
      </c>
      <c r="L15">
        <f t="shared" si="5"/>
        <v>23.5</v>
      </c>
      <c r="N15" t="s">
        <v>161</v>
      </c>
      <c r="R15" t="s">
        <v>17</v>
      </c>
      <c r="S15">
        <v>0.05</v>
      </c>
      <c r="V15">
        <f t="shared" si="7"/>
        <v>11</v>
      </c>
      <c r="W15" s="76">
        <f t="shared" si="8"/>
        <v>14</v>
      </c>
      <c r="X15" s="7">
        <f t="shared" si="9"/>
        <v>25</v>
      </c>
      <c r="Y15" s="7">
        <f t="shared" si="10"/>
        <v>18</v>
      </c>
      <c r="Z15" s="35">
        <f t="shared" si="11"/>
        <v>21</v>
      </c>
      <c r="AA15" s="173">
        <f t="shared" si="12"/>
        <v>3.25</v>
      </c>
      <c r="AE15" s="353" t="str">
        <f>AE5</f>
        <v>2 weeks</v>
      </c>
      <c r="AF15" s="353" t="str">
        <f>AE6</f>
        <v>3 weeks</v>
      </c>
      <c r="AG15" s="353">
        <f>ABS(AF5-AF6)</f>
        <v>2.8000000000000007</v>
      </c>
      <c r="AH15" s="353" t="e">
        <f t="shared" ca="1" si="13"/>
        <v>#NAME?</v>
      </c>
      <c r="AI15" s="353" t="e">
        <f t="shared" ca="1" si="14"/>
        <v>#NAME?</v>
      </c>
      <c r="AJ15" s="353" t="e">
        <f t="shared" ca="1" si="15"/>
        <v>#NAME?</v>
      </c>
      <c r="AK15" s="353" t="e">
        <f ca="1">QDIST(AH15,COUNT(AF$3:AF$6),AH$7)</f>
        <v>#NAME?</v>
      </c>
      <c r="AL15" s="353" t="e">
        <f t="shared" ca="1" si="16"/>
        <v>#NAME?</v>
      </c>
      <c r="AN15" s="353" t="str">
        <f>AN5</f>
        <v>2 weeks</v>
      </c>
      <c r="AO15" s="353" t="str">
        <f>AN6</f>
        <v>3 weeks</v>
      </c>
      <c r="AP15" s="353">
        <f>ABS(AO5-AO6)</f>
        <v>2.8000000000000007</v>
      </c>
      <c r="AQ15" s="353" t="e">
        <f t="array" aca="1" ref="AQ15" ca="1">STDERR(D4:D18-E4:E18)</f>
        <v>#NAME?</v>
      </c>
      <c r="AR15" s="353" t="e">
        <f t="shared" ca="1" si="17"/>
        <v>#NAME?</v>
      </c>
      <c r="AS15" s="353" t="e">
        <f t="shared" ca="1" si="18"/>
        <v>#NAME?</v>
      </c>
      <c r="AT15" s="353" t="e">
        <f t="shared" ca="1" si="19"/>
        <v>#NAME?</v>
      </c>
      <c r="AU15" s="353" t="e">
        <f ca="1">QDIST(AR15,COUNT(AO$3:AO$6),AP$7)</f>
        <v>#NAME?</v>
      </c>
      <c r="AV15" s="353" t="e">
        <f t="shared" ca="1" si="20"/>
        <v>#NAME?</v>
      </c>
      <c r="AW15" s="353" t="e">
        <f t="shared" ca="1" si="21"/>
        <v>#NAME?</v>
      </c>
    </row>
    <row r="16" spans="1:54" ht="15.75" thickTop="1" x14ac:dyDescent="0.25">
      <c r="A16" s="445">
        <f t="shared" si="6"/>
        <v>13</v>
      </c>
      <c r="B16" s="75">
        <v>9</v>
      </c>
      <c r="C16" s="308">
        <v>12</v>
      </c>
      <c r="D16" s="308">
        <v>20</v>
      </c>
      <c r="E16" s="72">
        <v>23</v>
      </c>
      <c r="G16">
        <f t="shared" si="4"/>
        <v>13</v>
      </c>
      <c r="H16" s="76">
        <f t="shared" si="0"/>
        <v>9</v>
      </c>
      <c r="I16" s="7">
        <f t="shared" si="1"/>
        <v>12</v>
      </c>
      <c r="J16" s="7">
        <f t="shared" si="2"/>
        <v>20</v>
      </c>
      <c r="K16" s="35">
        <f t="shared" si="3"/>
        <v>23</v>
      </c>
      <c r="L16">
        <f t="shared" si="5"/>
        <v>16</v>
      </c>
      <c r="N16" s="191" t="s">
        <v>100</v>
      </c>
      <c r="O16" s="191" t="s">
        <v>76</v>
      </c>
      <c r="P16" s="191" t="s">
        <v>37</v>
      </c>
      <c r="Q16" s="191" t="s">
        <v>78</v>
      </c>
      <c r="R16" s="191" t="s">
        <v>68</v>
      </c>
      <c r="S16" s="191" t="s">
        <v>101</v>
      </c>
      <c r="T16" s="191" t="s">
        <v>102</v>
      </c>
      <c r="V16">
        <f t="shared" si="7"/>
        <v>12</v>
      </c>
      <c r="W16" s="76">
        <f t="shared" si="8"/>
        <v>24</v>
      </c>
      <c r="X16" s="7">
        <f t="shared" si="9"/>
        <v>26</v>
      </c>
      <c r="Y16" s="7">
        <f t="shared" si="10"/>
        <v>21</v>
      </c>
      <c r="Z16" s="35">
        <f t="shared" si="11"/>
        <v>23</v>
      </c>
      <c r="AA16" s="173">
        <f t="shared" si="12"/>
        <v>-0.75</v>
      </c>
    </row>
    <row r="17" spans="1:30" x14ac:dyDescent="0.25">
      <c r="A17" s="445">
        <f t="shared" si="6"/>
        <v>14</v>
      </c>
      <c r="B17" s="75">
        <v>3</v>
      </c>
      <c r="C17" s="308">
        <v>9</v>
      </c>
      <c r="D17" s="308">
        <v>13</v>
      </c>
      <c r="E17" s="72">
        <v>16</v>
      </c>
      <c r="G17">
        <f t="shared" si="4"/>
        <v>14</v>
      </c>
      <c r="H17" s="76">
        <f t="shared" si="0"/>
        <v>3</v>
      </c>
      <c r="I17" s="7">
        <f t="shared" si="1"/>
        <v>9</v>
      </c>
      <c r="J17" s="7">
        <f t="shared" si="2"/>
        <v>13</v>
      </c>
      <c r="K17" s="35">
        <f t="shared" si="3"/>
        <v>16</v>
      </c>
      <c r="L17">
        <f t="shared" si="5"/>
        <v>10.25</v>
      </c>
      <c r="N17" t="s">
        <v>47</v>
      </c>
      <c r="O17">
        <f>O6</f>
        <v>833.25000000000023</v>
      </c>
      <c r="P17" t="e">
        <f ca="1">P6*H23</f>
        <v>#NAME?</v>
      </c>
      <c r="Q17" t="e">
        <f ca="1">O17/P17</f>
        <v>#NAME?</v>
      </c>
      <c r="R17" t="e">
        <f ca="1">Q17/Q18</f>
        <v>#NAME?</v>
      </c>
      <c r="S17" t="e">
        <f ca="1">F_DIST_RT(R17,P17,P18)</f>
        <v>#NAME?</v>
      </c>
      <c r="T17" t="e">
        <f ca="1">F_INV_RT(S15,P17,P18)</f>
        <v>#NAME?</v>
      </c>
      <c r="V17">
        <f t="shared" si="7"/>
        <v>13</v>
      </c>
      <c r="W17" s="76">
        <f t="shared" si="8"/>
        <v>9</v>
      </c>
      <c r="X17" s="7">
        <f t="shared" si="9"/>
        <v>12</v>
      </c>
      <c r="Y17" s="7">
        <f t="shared" si="10"/>
        <v>20</v>
      </c>
      <c r="Z17" s="35">
        <f t="shared" si="11"/>
        <v>23</v>
      </c>
      <c r="AA17" s="173">
        <f t="shared" si="12"/>
        <v>10.5</v>
      </c>
    </row>
    <row r="18" spans="1:30" x14ac:dyDescent="0.25">
      <c r="A18" s="445">
        <f t="shared" si="6"/>
        <v>15</v>
      </c>
      <c r="B18" s="461">
        <v>2</v>
      </c>
      <c r="C18" s="460">
        <v>8</v>
      </c>
      <c r="D18" s="460">
        <v>6</v>
      </c>
      <c r="E18" s="459">
        <v>10</v>
      </c>
      <c r="G18">
        <f t="shared" si="4"/>
        <v>15</v>
      </c>
      <c r="H18" s="348">
        <f t="shared" si="0"/>
        <v>2</v>
      </c>
      <c r="I18" s="349">
        <f t="shared" si="1"/>
        <v>8</v>
      </c>
      <c r="J18" s="349">
        <f t="shared" si="2"/>
        <v>6</v>
      </c>
      <c r="K18" s="350">
        <f t="shared" si="3"/>
        <v>10</v>
      </c>
      <c r="L18">
        <f t="shared" si="5"/>
        <v>6.5</v>
      </c>
      <c r="N18" t="s">
        <v>122</v>
      </c>
      <c r="O18">
        <f>O7</f>
        <v>400.49999999999977</v>
      </c>
      <c r="P18" t="e">
        <f ca="1">P7*H23</f>
        <v>#NAME?</v>
      </c>
      <c r="Q18" t="e">
        <f ca="1">O18/P18</f>
        <v>#NAME?</v>
      </c>
      <c r="V18">
        <f t="shared" si="7"/>
        <v>14</v>
      </c>
      <c r="W18" s="76">
        <f t="shared" si="8"/>
        <v>3</v>
      </c>
      <c r="X18" s="7">
        <f t="shared" si="9"/>
        <v>9</v>
      </c>
      <c r="Y18" s="7">
        <f t="shared" si="10"/>
        <v>13</v>
      </c>
      <c r="Z18" s="35">
        <f t="shared" si="11"/>
        <v>16</v>
      </c>
      <c r="AA18" s="173">
        <f t="shared" si="12"/>
        <v>9</v>
      </c>
    </row>
    <row r="19" spans="1:30" x14ac:dyDescent="0.25">
      <c r="G19" t="s">
        <v>8</v>
      </c>
      <c r="H19">
        <f>AVERAGE(H4:H18)</f>
        <v>12.533333333333333</v>
      </c>
      <c r="I19">
        <f>AVERAGE(I4:I18)</f>
        <v>18.333333333333332</v>
      </c>
      <c r="J19">
        <f>AVERAGE(J4:J18)</f>
        <v>19.933333333333334</v>
      </c>
      <c r="K19">
        <f>AVERAGE(K4:K18)</f>
        <v>22.733333333333334</v>
      </c>
      <c r="L19">
        <f>AVERAGE(L4:L18)</f>
        <v>18.383333333333333</v>
      </c>
      <c r="N19" s="458"/>
      <c r="O19" s="458"/>
      <c r="P19" s="458"/>
      <c r="Q19" s="458"/>
      <c r="R19" s="458"/>
      <c r="S19" s="458"/>
      <c r="T19" s="458"/>
      <c r="V19">
        <f t="shared" si="7"/>
        <v>15</v>
      </c>
      <c r="W19" s="348">
        <f t="shared" si="8"/>
        <v>2</v>
      </c>
      <c r="X19" s="349">
        <f t="shared" si="9"/>
        <v>8</v>
      </c>
      <c r="Y19" s="349">
        <f t="shared" si="10"/>
        <v>6</v>
      </c>
      <c r="Z19" s="350">
        <f t="shared" si="11"/>
        <v>10</v>
      </c>
      <c r="AA19" s="378">
        <f t="shared" si="12"/>
        <v>5.5</v>
      </c>
    </row>
    <row r="20" spans="1:30" x14ac:dyDescent="0.25">
      <c r="G20" t="s">
        <v>48</v>
      </c>
      <c r="H20">
        <f>VAR(H4:H18)</f>
        <v>55.838095238095221</v>
      </c>
      <c r="I20">
        <f>VAR(I4:I18)</f>
        <v>35.523809523809504</v>
      </c>
      <c r="J20">
        <f>VAR(J4:J18)</f>
        <v>41.352380952380955</v>
      </c>
      <c r="K20">
        <f>VAR(K4:K18)</f>
        <v>34.352380952380955</v>
      </c>
      <c r="L20">
        <f>VAR(L4:L18)</f>
        <v>34.614880952380972</v>
      </c>
      <c r="Z20" t="s">
        <v>6</v>
      </c>
      <c r="AA20" s="453">
        <f>AVERAGE(AA5:AA19)</f>
        <v>6.9</v>
      </c>
    </row>
    <row r="21" spans="1:30" x14ac:dyDescent="0.25">
      <c r="Z21" t="s">
        <v>46</v>
      </c>
      <c r="AA21" s="173">
        <f>STDEV(AA5:AA19)</f>
        <v>3.9140315350215125</v>
      </c>
    </row>
    <row r="22" spans="1:30" x14ac:dyDescent="0.25">
      <c r="G22" t="s">
        <v>560</v>
      </c>
      <c r="H22" s="453" t="e">
        <f ca="1">GGEpsilon(H4:K18)</f>
        <v>#NAME?</v>
      </c>
      <c r="Z22" t="s">
        <v>183</v>
      </c>
      <c r="AA22" s="378">
        <f>AA21/SQRT(COUNTA(AA5:AA19))</f>
        <v>1.0105985967779312</v>
      </c>
    </row>
    <row r="23" spans="1:30" x14ac:dyDescent="0.25">
      <c r="G23" t="s">
        <v>561</v>
      </c>
      <c r="H23" s="378" t="e">
        <f ca="1">HFEpsilon(H4:K18)</f>
        <v>#NAME?</v>
      </c>
    </row>
    <row r="24" spans="1:30" ht="15.75" thickBot="1" x14ac:dyDescent="0.3">
      <c r="V24" t="s">
        <v>42</v>
      </c>
      <c r="Y24" t="s">
        <v>17</v>
      </c>
      <c r="Z24">
        <v>1.6666666666666666E-2</v>
      </c>
    </row>
    <row r="25" spans="1:30" ht="15.75" thickTop="1" x14ac:dyDescent="0.25">
      <c r="V25" s="191" t="s">
        <v>6</v>
      </c>
      <c r="W25" s="191" t="s">
        <v>183</v>
      </c>
      <c r="X25" s="191" t="s">
        <v>53</v>
      </c>
      <c r="Y25" s="191" t="s">
        <v>37</v>
      </c>
      <c r="Z25" s="191" t="s">
        <v>43</v>
      </c>
      <c r="AA25" s="191" t="s">
        <v>111</v>
      </c>
      <c r="AB25" s="191" t="s">
        <v>191</v>
      </c>
      <c r="AC25" s="191" t="s">
        <v>192</v>
      </c>
    </row>
    <row r="26" spans="1:30" x14ac:dyDescent="0.25">
      <c r="V26" s="431">
        <f>AA20</f>
        <v>6.9</v>
      </c>
      <c r="W26" s="431">
        <f>AA22</f>
        <v>1.0105985967779312</v>
      </c>
      <c r="X26" s="431">
        <f>V26/W26</f>
        <v>6.8276366323870974</v>
      </c>
      <c r="Y26" s="431">
        <f>COUNTA(AA5:AA19)-1</f>
        <v>14</v>
      </c>
      <c r="Z26" s="431">
        <f>TDIST(ABS(X26),Y26,2)</f>
        <v>8.2236539026769085E-6</v>
      </c>
      <c r="AA26" s="430" t="str">
        <f>IF(Z26&lt;Z24,"yes","no")</f>
        <v>yes</v>
      </c>
      <c r="AB26" s="431">
        <f>ABS(AA20)/AA21</f>
        <v>1.7628881980793945</v>
      </c>
      <c r="AC26" s="431">
        <f>SQRT(V26^2/(V26^2+Y26))</f>
        <v>0.87907005503660962</v>
      </c>
      <c r="AD26" s="445"/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9"/>
  <dimension ref="A1:AT48"/>
  <sheetViews>
    <sheetView topLeftCell="AD1" workbookViewId="0">
      <selection activeCell="N1" sqref="N1"/>
    </sheetView>
  </sheetViews>
  <sheetFormatPr defaultRowHeight="15" x14ac:dyDescent="0.25"/>
  <cols>
    <col min="37" max="37" width="9.140625" customWidth="1"/>
    <col min="39" max="40" width="9.140625" customWidth="1"/>
    <col min="42" max="42" width="6.5703125" customWidth="1"/>
    <col min="43" max="43" width="16.85546875" customWidth="1"/>
    <col min="45" max="45" width="3.28515625" customWidth="1"/>
    <col min="46" max="46" width="40" customWidth="1"/>
  </cols>
  <sheetData>
    <row r="1" spans="1:46" x14ac:dyDescent="0.25">
      <c r="A1" s="1" t="s">
        <v>290</v>
      </c>
    </row>
    <row r="3" spans="1:46" ht="15.75" thickBot="1" x14ac:dyDescent="0.3">
      <c r="A3" s="83" t="s">
        <v>35</v>
      </c>
      <c r="B3" s="83" t="s">
        <v>52</v>
      </c>
      <c r="C3" s="83" t="s">
        <v>165</v>
      </c>
      <c r="D3" s="83" t="s">
        <v>166</v>
      </c>
      <c r="E3" s="83" t="s">
        <v>167</v>
      </c>
      <c r="G3" t="s">
        <v>99</v>
      </c>
      <c r="N3" t="s">
        <v>84</v>
      </c>
      <c r="R3" t="s">
        <v>17</v>
      </c>
      <c r="S3">
        <v>0.05</v>
      </c>
      <c r="W3" s="1" t="s">
        <v>190</v>
      </c>
      <c r="AK3" t="s">
        <v>146</v>
      </c>
      <c r="AQ3" t="s">
        <v>147</v>
      </c>
    </row>
    <row r="4" spans="1:46" ht="15.75" thickTop="1" x14ac:dyDescent="0.25">
      <c r="A4" s="83">
        <v>1</v>
      </c>
      <c r="B4" s="92">
        <v>16</v>
      </c>
      <c r="C4" s="93">
        <v>22</v>
      </c>
      <c r="D4" s="93">
        <v>23</v>
      </c>
      <c r="E4" s="94">
        <v>25</v>
      </c>
      <c r="N4" s="24" t="s">
        <v>100</v>
      </c>
      <c r="O4" s="24" t="s">
        <v>76</v>
      </c>
      <c r="P4" s="24" t="s">
        <v>37</v>
      </c>
      <c r="Q4" s="24" t="s">
        <v>78</v>
      </c>
      <c r="R4" s="24" t="s">
        <v>68</v>
      </c>
      <c r="S4" s="24" t="s">
        <v>101</v>
      </c>
      <c r="T4" s="24" t="s">
        <v>102</v>
      </c>
    </row>
    <row r="5" spans="1:46" x14ac:dyDescent="0.25">
      <c r="A5" s="83">
        <f>A4+1</f>
        <v>2</v>
      </c>
      <c r="B5" s="75">
        <v>12</v>
      </c>
      <c r="C5" s="33">
        <v>18</v>
      </c>
      <c r="D5" s="33">
        <v>24</v>
      </c>
      <c r="E5" s="72">
        <v>29</v>
      </c>
      <c r="G5" s="83" t="str">
        <f>A3</f>
        <v>Subject</v>
      </c>
      <c r="H5" s="83" t="str">
        <f t="shared" ref="H5:K20" si="0">B3</f>
        <v>Before</v>
      </c>
      <c r="I5" s="83" t="str">
        <f t="shared" si="0"/>
        <v>1 week</v>
      </c>
      <c r="J5" s="83" t="str">
        <f t="shared" si="0"/>
        <v>2 weeks</v>
      </c>
      <c r="K5" s="83" t="str">
        <f t="shared" si="0"/>
        <v>3 weeks</v>
      </c>
      <c r="L5" s="83" t="s">
        <v>8</v>
      </c>
      <c r="N5" t="s">
        <v>145</v>
      </c>
      <c r="O5">
        <f>H26*DEVSQ(L6:L20)</f>
        <v>1938.4333333333334</v>
      </c>
      <c r="P5">
        <f>H25-1</f>
        <v>14</v>
      </c>
      <c r="Q5">
        <f>O5/P5</f>
        <v>138.4595238095238</v>
      </c>
      <c r="R5">
        <f>Q5/Q7</f>
        <v>14.520099875156061</v>
      </c>
      <c r="S5">
        <f>FDIST(R5,P5,P7)</f>
        <v>8.1670607503918935E-12</v>
      </c>
      <c r="T5">
        <f>FINV(S3,P5,P7)</f>
        <v>1.9350088132446253</v>
      </c>
      <c r="W5" s="83" t="s">
        <v>35</v>
      </c>
      <c r="X5" s="83" t="s">
        <v>52</v>
      </c>
      <c r="Y5" s="83" t="s">
        <v>168</v>
      </c>
      <c r="Z5" s="83" t="s">
        <v>169</v>
      </c>
      <c r="AA5" s="83" t="s">
        <v>170</v>
      </c>
      <c r="AC5" s="83" t="s">
        <v>35</v>
      </c>
      <c r="AD5" s="12" t="s">
        <v>171</v>
      </c>
      <c r="AE5" s="12" t="s">
        <v>172</v>
      </c>
      <c r="AF5" s="12" t="s">
        <v>173</v>
      </c>
      <c r="AG5" s="12" t="s">
        <v>174</v>
      </c>
      <c r="AH5" s="12" t="s">
        <v>175</v>
      </c>
      <c r="AI5" s="12" t="s">
        <v>176</v>
      </c>
      <c r="AL5" s="96" t="e">
        <f t="array" aca="1" ref="AL5:AO8" ca="1">COV(H6:K20)</f>
        <v>#NAME?</v>
      </c>
      <c r="AM5" s="97" t="e">
        <f ca="1"/>
        <v>#NAME?</v>
      </c>
      <c r="AN5" s="97" t="e">
        <f ca="1"/>
        <v>#NAME?</v>
      </c>
      <c r="AO5" s="98" t="e">
        <f ca="1"/>
        <v>#NAME?</v>
      </c>
      <c r="AQ5" t="s">
        <v>149</v>
      </c>
      <c r="AR5" s="95">
        <f>H26</f>
        <v>4</v>
      </c>
      <c r="AT5" s="14" t="s">
        <v>189</v>
      </c>
    </row>
    <row r="6" spans="1:46" x14ac:dyDescent="0.25">
      <c r="A6" s="83">
        <f t="shared" ref="A6:A18" si="1">A5+1</f>
        <v>3</v>
      </c>
      <c r="B6" s="75">
        <v>23</v>
      </c>
      <c r="C6" s="33">
        <v>24</v>
      </c>
      <c r="D6" s="33">
        <v>26</v>
      </c>
      <c r="E6" s="26">
        <v>27</v>
      </c>
      <c r="G6" s="83">
        <f t="shared" ref="G6:G20" si="2">A4</f>
        <v>1</v>
      </c>
      <c r="H6" s="92">
        <f t="shared" si="0"/>
        <v>16</v>
      </c>
      <c r="I6" s="93">
        <f t="shared" si="0"/>
        <v>22</v>
      </c>
      <c r="J6" s="93">
        <f t="shared" si="0"/>
        <v>23</v>
      </c>
      <c r="K6" s="99">
        <f t="shared" si="0"/>
        <v>25</v>
      </c>
      <c r="L6">
        <f>AVERAGE(H6:K6)</f>
        <v>21.5</v>
      </c>
      <c r="N6" t="s">
        <v>47</v>
      </c>
      <c r="O6">
        <f>H25*DEVSQ(H21:K21)</f>
        <v>833.25000000000023</v>
      </c>
      <c r="P6">
        <f>H26-1</f>
        <v>3</v>
      </c>
      <c r="Q6">
        <f>O6/P6</f>
        <v>277.75000000000006</v>
      </c>
      <c r="R6">
        <f>Q6/Q7</f>
        <v>29.127340823970059</v>
      </c>
      <c r="S6">
        <f>FDIST(R6,P6,P7)</f>
        <v>2.3962181631669464E-10</v>
      </c>
      <c r="T6">
        <f>FINV(S3,P6,P7)</f>
        <v>2.8270487120861261</v>
      </c>
      <c r="W6" s="83">
        <v>1</v>
      </c>
      <c r="X6" s="100">
        <f>B4</f>
        <v>16</v>
      </c>
      <c r="Y6" s="101">
        <f t="shared" ref="Y6:AA20" si="3">C4</f>
        <v>22</v>
      </c>
      <c r="Z6" s="101">
        <f t="shared" si="3"/>
        <v>23</v>
      </c>
      <c r="AA6" s="94">
        <f t="shared" si="3"/>
        <v>25</v>
      </c>
      <c r="AC6" s="83">
        <v>1</v>
      </c>
      <c r="AD6" s="102">
        <f>X6-Y6</f>
        <v>-6</v>
      </c>
      <c r="AE6" s="103">
        <f>X6-Z6</f>
        <v>-7</v>
      </c>
      <c r="AF6" s="103">
        <f>X6-AA6</f>
        <v>-9</v>
      </c>
      <c r="AG6" s="103">
        <f>Y6-Z6</f>
        <v>-1</v>
      </c>
      <c r="AH6" s="103">
        <f>Y6-AA6</f>
        <v>-3</v>
      </c>
      <c r="AI6" s="104">
        <f>Z6-AA6</f>
        <v>-2</v>
      </c>
      <c r="AL6" s="76" t="e">
        <f ca="1"/>
        <v>#NAME?</v>
      </c>
      <c r="AM6" s="7" t="e">
        <f ca="1"/>
        <v>#NAME?</v>
      </c>
      <c r="AN6" s="7" t="e">
        <f ca="1"/>
        <v>#NAME?</v>
      </c>
      <c r="AO6" s="35" t="e">
        <f ca="1"/>
        <v>#NAME?</v>
      </c>
      <c r="AQ6" t="s">
        <v>150</v>
      </c>
      <c r="AR6" s="78">
        <f>AVERAGE(H22:K22)</f>
        <v>41.766666666666652</v>
      </c>
      <c r="AT6" s="14" t="s">
        <v>185</v>
      </c>
    </row>
    <row r="7" spans="1:46" x14ac:dyDescent="0.25">
      <c r="A7" s="83">
        <f t="shared" si="1"/>
        <v>4</v>
      </c>
      <c r="B7" s="75">
        <v>8</v>
      </c>
      <c r="C7" s="33">
        <v>20</v>
      </c>
      <c r="D7" s="33">
        <v>28</v>
      </c>
      <c r="E7" s="26">
        <v>30</v>
      </c>
      <c r="G7" s="83">
        <f t="shared" si="2"/>
        <v>2</v>
      </c>
      <c r="H7" s="75">
        <f t="shared" si="0"/>
        <v>12</v>
      </c>
      <c r="I7" s="33">
        <f t="shared" si="0"/>
        <v>18</v>
      </c>
      <c r="J7" s="33">
        <f t="shared" si="0"/>
        <v>24</v>
      </c>
      <c r="K7" s="79">
        <f t="shared" si="0"/>
        <v>29</v>
      </c>
      <c r="L7">
        <f t="shared" ref="L7:L20" si="4">AVERAGE(H7:K7)</f>
        <v>20.75</v>
      </c>
      <c r="N7" t="s">
        <v>122</v>
      </c>
      <c r="O7">
        <f>O8-O5-O6</f>
        <v>400.49999999999977</v>
      </c>
      <c r="P7">
        <f>P8-P5-P6</f>
        <v>42</v>
      </c>
      <c r="Q7">
        <f>O7/P7</f>
        <v>9.5357142857142811</v>
      </c>
      <c r="W7" s="83">
        <f>W6+1</f>
        <v>2</v>
      </c>
      <c r="X7" s="25">
        <f t="shared" ref="X7:X20" si="5">B5</f>
        <v>12</v>
      </c>
      <c r="Y7" s="33">
        <f t="shared" si="3"/>
        <v>18</v>
      </c>
      <c r="Z7" s="33">
        <f t="shared" si="3"/>
        <v>24</v>
      </c>
      <c r="AA7" s="26">
        <f t="shared" si="3"/>
        <v>29</v>
      </c>
      <c r="AC7" s="83">
        <f>AC6+1</f>
        <v>2</v>
      </c>
      <c r="AD7" s="6">
        <f t="shared" ref="AD7:AD20" si="6">X7-Y7</f>
        <v>-6</v>
      </c>
      <c r="AE7" s="7">
        <f t="shared" ref="AE7:AE20" si="7">X7-Z7</f>
        <v>-12</v>
      </c>
      <c r="AF7" s="7">
        <f t="shared" ref="AF7:AF20" si="8">X7-AA7</f>
        <v>-17</v>
      </c>
      <c r="AG7" s="7">
        <f t="shared" ref="AG7:AG20" si="9">Y7-Z7</f>
        <v>-6</v>
      </c>
      <c r="AH7" s="7">
        <f t="shared" ref="AH7:AH20" si="10">Y7-AA7</f>
        <v>-11</v>
      </c>
      <c r="AI7" s="8">
        <f t="shared" ref="AI7:AI20" si="11">Z7-AA7</f>
        <v>-5</v>
      </c>
      <c r="AL7" s="76" t="e">
        <f ca="1"/>
        <v>#NAME?</v>
      </c>
      <c r="AM7" s="7" t="e">
        <f ca="1"/>
        <v>#NAME?</v>
      </c>
      <c r="AN7" s="7" t="e">
        <f ca="1"/>
        <v>#NAME?</v>
      </c>
      <c r="AO7" s="35" t="e">
        <f ca="1"/>
        <v>#NAME?</v>
      </c>
      <c r="AQ7" t="s">
        <v>151</v>
      </c>
      <c r="AR7" s="78" t="e">
        <f ca="1">AVERAGE(H30:K33)</f>
        <v>#NAME?</v>
      </c>
      <c r="AT7" s="14" t="s">
        <v>186</v>
      </c>
    </row>
    <row r="8" spans="1:46" x14ac:dyDescent="0.25">
      <c r="A8" s="83">
        <f t="shared" si="1"/>
        <v>5</v>
      </c>
      <c r="B8" s="75">
        <v>3</v>
      </c>
      <c r="C8" s="33">
        <v>12</v>
      </c>
      <c r="D8" s="33">
        <v>13</v>
      </c>
      <c r="E8" s="26">
        <v>17</v>
      </c>
      <c r="G8" s="83">
        <f t="shared" si="2"/>
        <v>3</v>
      </c>
      <c r="H8" s="75">
        <f t="shared" si="0"/>
        <v>23</v>
      </c>
      <c r="I8" s="33">
        <f t="shared" si="0"/>
        <v>24</v>
      </c>
      <c r="J8" s="33">
        <f t="shared" si="0"/>
        <v>26</v>
      </c>
      <c r="K8" s="79">
        <f t="shared" si="0"/>
        <v>27</v>
      </c>
      <c r="L8">
        <f t="shared" si="4"/>
        <v>25</v>
      </c>
      <c r="N8" t="s">
        <v>1</v>
      </c>
      <c r="O8">
        <f>DEVSQ(H6:K20)</f>
        <v>3172.1833333333334</v>
      </c>
      <c r="P8">
        <f>H25*H26-1</f>
        <v>59</v>
      </c>
      <c r="W8" s="83">
        <f t="shared" ref="W8:W20" si="12">W7+1</f>
        <v>3</v>
      </c>
      <c r="X8" s="25">
        <f t="shared" si="5"/>
        <v>23</v>
      </c>
      <c r="Y8" s="33">
        <f t="shared" si="3"/>
        <v>24</v>
      </c>
      <c r="Z8" s="33">
        <f t="shared" si="3"/>
        <v>26</v>
      </c>
      <c r="AA8" s="26">
        <f t="shared" si="3"/>
        <v>27</v>
      </c>
      <c r="AC8" s="83">
        <f t="shared" ref="AC8:AC20" si="13">AC7+1</f>
        <v>3</v>
      </c>
      <c r="AD8" s="6">
        <f t="shared" si="6"/>
        <v>-1</v>
      </c>
      <c r="AE8" s="7">
        <f t="shared" si="7"/>
        <v>-3</v>
      </c>
      <c r="AF8" s="7">
        <f t="shared" si="8"/>
        <v>-4</v>
      </c>
      <c r="AG8" s="7">
        <f t="shared" si="9"/>
        <v>-2</v>
      </c>
      <c r="AH8" s="7">
        <f t="shared" si="10"/>
        <v>-3</v>
      </c>
      <c r="AI8" s="8">
        <f t="shared" si="11"/>
        <v>-1</v>
      </c>
      <c r="AL8" s="50" t="e">
        <f ca="1"/>
        <v>#NAME?</v>
      </c>
      <c r="AM8" s="69" t="e">
        <f ca="1"/>
        <v>#NAME?</v>
      </c>
      <c r="AN8" s="69" t="e">
        <f ca="1"/>
        <v>#NAME?</v>
      </c>
      <c r="AO8" s="51" t="e">
        <f ca="1"/>
        <v>#NAME?</v>
      </c>
      <c r="AQ8" t="s">
        <v>152</v>
      </c>
      <c r="AR8" s="78" t="e">
        <f ca="1">SUMSQ(AL5:AO8)</f>
        <v>#NAME?</v>
      </c>
      <c r="AT8" s="14" t="s">
        <v>193</v>
      </c>
    </row>
    <row r="9" spans="1:46" x14ac:dyDescent="0.25">
      <c r="A9" s="83">
        <f t="shared" si="1"/>
        <v>6</v>
      </c>
      <c r="B9" s="75">
        <v>5</v>
      </c>
      <c r="C9" s="33">
        <v>13</v>
      </c>
      <c r="D9" s="33">
        <v>11</v>
      </c>
      <c r="E9" s="26">
        <v>15</v>
      </c>
      <c r="G9" s="83">
        <f t="shared" si="2"/>
        <v>4</v>
      </c>
      <c r="H9" s="75">
        <f t="shared" si="0"/>
        <v>8</v>
      </c>
      <c r="I9" s="33">
        <f t="shared" si="0"/>
        <v>20</v>
      </c>
      <c r="J9" s="33">
        <f t="shared" si="0"/>
        <v>28</v>
      </c>
      <c r="K9" s="79">
        <f t="shared" si="0"/>
        <v>30</v>
      </c>
      <c r="L9">
        <f t="shared" si="4"/>
        <v>21.5</v>
      </c>
      <c r="N9" s="103"/>
      <c r="O9" s="103"/>
      <c r="P9" s="103"/>
      <c r="Q9" s="103"/>
      <c r="R9" s="103"/>
      <c r="S9" s="103"/>
      <c r="T9" s="103"/>
      <c r="W9" s="83">
        <f t="shared" si="12"/>
        <v>4</v>
      </c>
      <c r="X9" s="25">
        <f t="shared" si="5"/>
        <v>8</v>
      </c>
      <c r="Y9" s="33">
        <f t="shared" si="3"/>
        <v>20</v>
      </c>
      <c r="Z9" s="33">
        <f t="shared" si="3"/>
        <v>28</v>
      </c>
      <c r="AA9" s="26">
        <f t="shared" si="3"/>
        <v>30</v>
      </c>
      <c r="AC9" s="83">
        <f t="shared" si="13"/>
        <v>4</v>
      </c>
      <c r="AD9" s="6">
        <f t="shared" si="6"/>
        <v>-12</v>
      </c>
      <c r="AE9" s="7">
        <f t="shared" si="7"/>
        <v>-20</v>
      </c>
      <c r="AF9" s="7">
        <f t="shared" si="8"/>
        <v>-22</v>
      </c>
      <c r="AG9" s="7">
        <f t="shared" si="9"/>
        <v>-8</v>
      </c>
      <c r="AH9" s="7">
        <f t="shared" si="10"/>
        <v>-10</v>
      </c>
      <c r="AI9" s="8">
        <f t="shared" si="11"/>
        <v>-2</v>
      </c>
      <c r="AK9" t="s">
        <v>8</v>
      </c>
      <c r="AL9" t="e">
        <f ca="1">AVERAGE(AL5:AL8)</f>
        <v>#NAME?</v>
      </c>
      <c r="AM9" t="e">
        <f ca="1">AVERAGE(AM5:AM8)</f>
        <v>#NAME?</v>
      </c>
      <c r="AN9" t="e">
        <f ca="1">AVERAGE(AN5:AN8)</f>
        <v>#NAME?</v>
      </c>
      <c r="AO9" t="e">
        <f ca="1">AVERAGE(AO5:AO8)</f>
        <v>#NAME?</v>
      </c>
      <c r="AQ9" t="s">
        <v>153</v>
      </c>
      <c r="AR9" s="78" t="e">
        <f ca="1">SUMSQ(AL9:AO9)</f>
        <v>#NAME?</v>
      </c>
      <c r="AT9" s="14" t="s">
        <v>194</v>
      </c>
    </row>
    <row r="10" spans="1:46" ht="15.75" thickBot="1" x14ac:dyDescent="0.3">
      <c r="A10" s="83">
        <f t="shared" si="1"/>
        <v>7</v>
      </c>
      <c r="B10" s="75">
        <v>19</v>
      </c>
      <c r="C10" s="33">
        <v>22</v>
      </c>
      <c r="D10" s="33">
        <v>25</v>
      </c>
      <c r="E10" s="26">
        <v>26</v>
      </c>
      <c r="G10" s="83">
        <f t="shared" si="2"/>
        <v>5</v>
      </c>
      <c r="H10" s="75">
        <f t="shared" si="0"/>
        <v>3</v>
      </c>
      <c r="I10" s="33">
        <f t="shared" si="0"/>
        <v>12</v>
      </c>
      <c r="J10" s="33">
        <f t="shared" si="0"/>
        <v>13</v>
      </c>
      <c r="K10" s="79">
        <f t="shared" si="0"/>
        <v>17</v>
      </c>
      <c r="L10">
        <f t="shared" si="4"/>
        <v>11.25</v>
      </c>
      <c r="N10" t="s">
        <v>160</v>
      </c>
      <c r="R10" t="s">
        <v>17</v>
      </c>
      <c r="S10">
        <v>0.05</v>
      </c>
      <c r="W10" s="83">
        <f t="shared" si="12"/>
        <v>5</v>
      </c>
      <c r="X10" s="25">
        <f t="shared" si="5"/>
        <v>3</v>
      </c>
      <c r="Y10" s="33">
        <f t="shared" si="3"/>
        <v>12</v>
      </c>
      <c r="Z10" s="33">
        <f t="shared" si="3"/>
        <v>13</v>
      </c>
      <c r="AA10" s="26">
        <f t="shared" si="3"/>
        <v>17</v>
      </c>
      <c r="AC10" s="83">
        <f t="shared" si="13"/>
        <v>5</v>
      </c>
      <c r="AD10" s="6">
        <f t="shared" si="6"/>
        <v>-9</v>
      </c>
      <c r="AE10" s="7">
        <f t="shared" si="7"/>
        <v>-10</v>
      </c>
      <c r="AF10" s="7">
        <f t="shared" si="8"/>
        <v>-14</v>
      </c>
      <c r="AG10" s="7">
        <f t="shared" si="9"/>
        <v>-1</v>
      </c>
      <c r="AH10" s="7">
        <f t="shared" si="10"/>
        <v>-5</v>
      </c>
      <c r="AI10" s="8">
        <f t="shared" si="11"/>
        <v>-4</v>
      </c>
      <c r="AQ10" t="s">
        <v>154</v>
      </c>
      <c r="AR10" s="78" t="e">
        <f ca="1">(AR5*(AR6-AR7))^2</f>
        <v>#NAME?</v>
      </c>
      <c r="AT10" s="14" t="s">
        <v>195</v>
      </c>
    </row>
    <row r="11" spans="1:46" ht="15.75" thickTop="1" x14ac:dyDescent="0.25">
      <c r="A11" s="83">
        <f t="shared" si="1"/>
        <v>8</v>
      </c>
      <c r="B11" s="75">
        <v>22</v>
      </c>
      <c r="C11" s="33">
        <v>22</v>
      </c>
      <c r="D11" s="33">
        <v>23</v>
      </c>
      <c r="E11" s="26">
        <v>26</v>
      </c>
      <c r="G11" s="83">
        <f t="shared" si="2"/>
        <v>6</v>
      </c>
      <c r="H11" s="75">
        <f t="shared" si="0"/>
        <v>5</v>
      </c>
      <c r="I11" s="33">
        <f t="shared" si="0"/>
        <v>13</v>
      </c>
      <c r="J11" s="33">
        <f t="shared" si="0"/>
        <v>11</v>
      </c>
      <c r="K11" s="79">
        <f t="shared" si="0"/>
        <v>15</v>
      </c>
      <c r="L11">
        <f t="shared" si="4"/>
        <v>11</v>
      </c>
      <c r="N11" s="24" t="s">
        <v>100</v>
      </c>
      <c r="O11" s="24" t="s">
        <v>76</v>
      </c>
      <c r="P11" s="24" t="s">
        <v>37</v>
      </c>
      <c r="Q11" s="24" t="s">
        <v>78</v>
      </c>
      <c r="R11" s="24" t="s">
        <v>68</v>
      </c>
      <c r="S11" s="24" t="s">
        <v>101</v>
      </c>
      <c r="T11" s="24" t="s">
        <v>102</v>
      </c>
      <c r="W11" s="83">
        <f t="shared" si="12"/>
        <v>6</v>
      </c>
      <c r="X11" s="25">
        <f t="shared" si="5"/>
        <v>5</v>
      </c>
      <c r="Y11" s="33">
        <f t="shared" si="3"/>
        <v>13</v>
      </c>
      <c r="Z11" s="33">
        <f t="shared" si="3"/>
        <v>11</v>
      </c>
      <c r="AA11" s="26">
        <f t="shared" si="3"/>
        <v>15</v>
      </c>
      <c r="AC11" s="83">
        <f t="shared" si="13"/>
        <v>6</v>
      </c>
      <c r="AD11" s="6">
        <f t="shared" si="6"/>
        <v>-8</v>
      </c>
      <c r="AE11" s="7">
        <f t="shared" si="7"/>
        <v>-6</v>
      </c>
      <c r="AF11" s="7">
        <f t="shared" si="8"/>
        <v>-10</v>
      </c>
      <c r="AG11" s="7">
        <f t="shared" si="9"/>
        <v>2</v>
      </c>
      <c r="AH11" s="7">
        <f t="shared" si="10"/>
        <v>-2</v>
      </c>
      <c r="AI11" s="8">
        <f t="shared" si="11"/>
        <v>-4</v>
      </c>
      <c r="AQ11" t="s">
        <v>155</v>
      </c>
      <c r="AR11" s="78" t="e">
        <f ca="1">(AR5-1)*(AR8-2*AR5*AR9+AR5^2*AR7^2)</f>
        <v>#NAME?</v>
      </c>
      <c r="AT11" s="14" t="s">
        <v>196</v>
      </c>
    </row>
    <row r="12" spans="1:46" x14ac:dyDescent="0.25">
      <c r="A12" s="83">
        <f t="shared" si="1"/>
        <v>9</v>
      </c>
      <c r="B12" s="75">
        <v>12</v>
      </c>
      <c r="C12" s="33">
        <v>20</v>
      </c>
      <c r="D12" s="33">
        <v>22</v>
      </c>
      <c r="E12" s="26">
        <v>24</v>
      </c>
      <c r="G12" s="83">
        <f t="shared" si="2"/>
        <v>7</v>
      </c>
      <c r="H12" s="75">
        <f t="shared" si="0"/>
        <v>19</v>
      </c>
      <c r="I12" s="33">
        <f t="shared" si="0"/>
        <v>22</v>
      </c>
      <c r="J12" s="33">
        <f t="shared" si="0"/>
        <v>25</v>
      </c>
      <c r="K12" s="79">
        <f t="shared" si="0"/>
        <v>26</v>
      </c>
      <c r="L12">
        <f t="shared" si="4"/>
        <v>23</v>
      </c>
      <c r="N12" t="s">
        <v>47</v>
      </c>
      <c r="O12">
        <f>O6</f>
        <v>833.25000000000023</v>
      </c>
      <c r="P12" t="e">
        <f ca="1">P6*J45</f>
        <v>#NAME?</v>
      </c>
      <c r="Q12" t="e">
        <f ca="1">O12/P12</f>
        <v>#NAME?</v>
      </c>
      <c r="R12" t="e">
        <f ca="1">Q12/Q13</f>
        <v>#NAME?</v>
      </c>
      <c r="S12" t="e">
        <f ca="1">FDIST(R12,P12,P13)</f>
        <v>#NAME?</v>
      </c>
      <c r="T12" t="e">
        <f ca="1">FINV(S10,P12,P13)</f>
        <v>#NAME?</v>
      </c>
      <c r="W12" s="83">
        <f t="shared" si="12"/>
        <v>7</v>
      </c>
      <c r="X12" s="25">
        <f t="shared" si="5"/>
        <v>19</v>
      </c>
      <c r="Y12" s="33">
        <f t="shared" si="3"/>
        <v>22</v>
      </c>
      <c r="Z12" s="33">
        <f t="shared" si="3"/>
        <v>25</v>
      </c>
      <c r="AA12" s="26">
        <f t="shared" si="3"/>
        <v>26</v>
      </c>
      <c r="AC12" s="83">
        <f t="shared" si="13"/>
        <v>7</v>
      </c>
      <c r="AD12" s="6">
        <f t="shared" si="6"/>
        <v>-3</v>
      </c>
      <c r="AE12" s="7">
        <f t="shared" si="7"/>
        <v>-6</v>
      </c>
      <c r="AF12" s="7">
        <f t="shared" si="8"/>
        <v>-7</v>
      </c>
      <c r="AG12" s="7">
        <f t="shared" si="9"/>
        <v>-3</v>
      </c>
      <c r="AH12" s="7">
        <f t="shared" si="10"/>
        <v>-4</v>
      </c>
      <c r="AI12" s="8">
        <f t="shared" si="11"/>
        <v>-1</v>
      </c>
      <c r="AQ12" t="s">
        <v>156</v>
      </c>
      <c r="AR12" s="42" t="e">
        <f ca="1">AR10/AR11</f>
        <v>#NAME?</v>
      </c>
      <c r="AT12" s="14" t="s">
        <v>197</v>
      </c>
    </row>
    <row r="13" spans="1:46" x14ac:dyDescent="0.25">
      <c r="A13" s="83">
        <f t="shared" si="1"/>
        <v>10</v>
      </c>
      <c r="B13" s="75">
        <v>16</v>
      </c>
      <c r="C13" s="33">
        <v>22</v>
      </c>
      <c r="D13" s="33">
        <v>26</v>
      </c>
      <c r="E13" s="26">
        <v>29</v>
      </c>
      <c r="G13" s="83">
        <f t="shared" si="2"/>
        <v>8</v>
      </c>
      <c r="H13" s="75">
        <f t="shared" si="0"/>
        <v>22</v>
      </c>
      <c r="I13" s="33">
        <f t="shared" si="0"/>
        <v>22</v>
      </c>
      <c r="J13" s="33">
        <f t="shared" si="0"/>
        <v>23</v>
      </c>
      <c r="K13" s="79">
        <f t="shared" si="0"/>
        <v>26</v>
      </c>
      <c r="L13">
        <f t="shared" si="4"/>
        <v>23.25</v>
      </c>
      <c r="N13" t="s">
        <v>122</v>
      </c>
      <c r="O13">
        <f>O7</f>
        <v>400.49999999999977</v>
      </c>
      <c r="P13" t="e">
        <f ca="1">P7*J45</f>
        <v>#NAME?</v>
      </c>
      <c r="Q13" t="e">
        <f ca="1">O13/P13</f>
        <v>#NAME?</v>
      </c>
      <c r="W13" s="83">
        <f t="shared" si="12"/>
        <v>8</v>
      </c>
      <c r="X13" s="25">
        <f t="shared" si="5"/>
        <v>22</v>
      </c>
      <c r="Y13" s="33">
        <f t="shared" si="3"/>
        <v>22</v>
      </c>
      <c r="Z13" s="33">
        <f t="shared" si="3"/>
        <v>23</v>
      </c>
      <c r="AA13" s="26">
        <f t="shared" si="3"/>
        <v>26</v>
      </c>
      <c r="AC13" s="83">
        <f t="shared" si="13"/>
        <v>8</v>
      </c>
      <c r="AD13" s="6">
        <f t="shared" si="6"/>
        <v>0</v>
      </c>
      <c r="AE13" s="7">
        <f t="shared" si="7"/>
        <v>-1</v>
      </c>
      <c r="AF13" s="7">
        <f t="shared" si="8"/>
        <v>-4</v>
      </c>
      <c r="AG13" s="7">
        <f t="shared" si="9"/>
        <v>-1</v>
      </c>
      <c r="AH13" s="7">
        <f t="shared" si="10"/>
        <v>-4</v>
      </c>
      <c r="AI13" s="8">
        <f t="shared" si="11"/>
        <v>-3</v>
      </c>
    </row>
    <row r="14" spans="1:46" x14ac:dyDescent="0.25">
      <c r="A14" s="83">
        <f t="shared" si="1"/>
        <v>11</v>
      </c>
      <c r="B14" s="75">
        <v>14</v>
      </c>
      <c r="C14" s="33">
        <v>25</v>
      </c>
      <c r="D14" s="33">
        <v>18</v>
      </c>
      <c r="E14" s="26">
        <v>21</v>
      </c>
      <c r="G14" s="83">
        <f t="shared" si="2"/>
        <v>9</v>
      </c>
      <c r="H14" s="75">
        <f t="shared" si="0"/>
        <v>12</v>
      </c>
      <c r="I14" s="33">
        <f t="shared" si="0"/>
        <v>20</v>
      </c>
      <c r="J14" s="33">
        <f t="shared" si="0"/>
        <v>22</v>
      </c>
      <c r="K14" s="79">
        <f t="shared" si="0"/>
        <v>24</v>
      </c>
      <c r="L14">
        <f t="shared" si="4"/>
        <v>19.5</v>
      </c>
      <c r="N14" s="103"/>
      <c r="O14" s="103"/>
      <c r="P14" s="103"/>
      <c r="Q14" s="103"/>
      <c r="R14" s="103"/>
      <c r="S14" s="103"/>
      <c r="T14" s="103"/>
      <c r="W14" s="83">
        <f t="shared" si="12"/>
        <v>9</v>
      </c>
      <c r="X14" s="25">
        <f t="shared" si="5"/>
        <v>12</v>
      </c>
      <c r="Y14" s="33">
        <f t="shared" si="3"/>
        <v>20</v>
      </c>
      <c r="Z14" s="33">
        <f t="shared" si="3"/>
        <v>22</v>
      </c>
      <c r="AA14" s="26">
        <f t="shared" si="3"/>
        <v>24</v>
      </c>
      <c r="AC14" s="83">
        <f t="shared" si="13"/>
        <v>9</v>
      </c>
      <c r="AD14" s="6">
        <f t="shared" si="6"/>
        <v>-8</v>
      </c>
      <c r="AE14" s="7">
        <f t="shared" si="7"/>
        <v>-10</v>
      </c>
      <c r="AF14" s="7">
        <f t="shared" si="8"/>
        <v>-12</v>
      </c>
      <c r="AG14" s="7">
        <f t="shared" si="9"/>
        <v>-2</v>
      </c>
      <c r="AH14" s="7">
        <f t="shared" si="10"/>
        <v>-4</v>
      </c>
      <c r="AI14" s="8">
        <f t="shared" si="11"/>
        <v>-2</v>
      </c>
      <c r="AQ14" t="s">
        <v>148</v>
      </c>
      <c r="AR14" s="105">
        <f>H25</f>
        <v>15</v>
      </c>
      <c r="AT14" s="14" t="s">
        <v>188</v>
      </c>
    </row>
    <row r="15" spans="1:46" ht="15.75" thickBot="1" x14ac:dyDescent="0.3">
      <c r="A15" s="83">
        <f t="shared" si="1"/>
        <v>12</v>
      </c>
      <c r="B15" s="75">
        <v>24</v>
      </c>
      <c r="C15" s="33">
        <v>26</v>
      </c>
      <c r="D15" s="33">
        <v>21</v>
      </c>
      <c r="E15" s="26">
        <v>23</v>
      </c>
      <c r="G15" s="83">
        <f t="shared" si="2"/>
        <v>10</v>
      </c>
      <c r="H15" s="75">
        <f t="shared" si="0"/>
        <v>16</v>
      </c>
      <c r="I15" s="33">
        <f t="shared" si="0"/>
        <v>22</v>
      </c>
      <c r="J15" s="33">
        <f t="shared" si="0"/>
        <v>26</v>
      </c>
      <c r="K15" s="79">
        <f t="shared" si="0"/>
        <v>29</v>
      </c>
      <c r="L15">
        <f t="shared" si="4"/>
        <v>23.25</v>
      </c>
      <c r="N15" t="s">
        <v>161</v>
      </c>
      <c r="R15" t="s">
        <v>17</v>
      </c>
      <c r="S15">
        <v>0.05</v>
      </c>
      <c r="W15" s="83">
        <f t="shared" si="12"/>
        <v>10</v>
      </c>
      <c r="X15" s="25">
        <f t="shared" si="5"/>
        <v>16</v>
      </c>
      <c r="Y15" s="33">
        <f t="shared" si="3"/>
        <v>22</v>
      </c>
      <c r="Z15" s="33">
        <f t="shared" si="3"/>
        <v>26</v>
      </c>
      <c r="AA15" s="26">
        <f t="shared" si="3"/>
        <v>29</v>
      </c>
      <c r="AC15" s="83">
        <f t="shared" si="13"/>
        <v>10</v>
      </c>
      <c r="AD15" s="6">
        <f t="shared" si="6"/>
        <v>-6</v>
      </c>
      <c r="AE15" s="7">
        <f t="shared" si="7"/>
        <v>-10</v>
      </c>
      <c r="AF15" s="7">
        <f t="shared" si="8"/>
        <v>-13</v>
      </c>
      <c r="AG15" s="7">
        <f t="shared" si="9"/>
        <v>-4</v>
      </c>
      <c r="AH15" s="7">
        <f t="shared" si="10"/>
        <v>-7</v>
      </c>
      <c r="AI15" s="8">
        <f t="shared" si="11"/>
        <v>-3</v>
      </c>
      <c r="AQ15" t="s">
        <v>149</v>
      </c>
      <c r="AR15" s="78">
        <f>AR5</f>
        <v>4</v>
      </c>
      <c r="AT15" s="14" t="s">
        <v>187</v>
      </c>
    </row>
    <row r="16" spans="1:46" ht="15.75" thickTop="1" x14ac:dyDescent="0.25">
      <c r="A16" s="83">
        <f t="shared" si="1"/>
        <v>13</v>
      </c>
      <c r="B16" s="75">
        <v>9</v>
      </c>
      <c r="C16" s="33">
        <v>12</v>
      </c>
      <c r="D16" s="33">
        <v>20</v>
      </c>
      <c r="E16" s="26">
        <v>23</v>
      </c>
      <c r="G16" s="83">
        <f t="shared" si="2"/>
        <v>11</v>
      </c>
      <c r="H16" s="75">
        <f t="shared" si="0"/>
        <v>14</v>
      </c>
      <c r="I16" s="33">
        <f t="shared" si="0"/>
        <v>25</v>
      </c>
      <c r="J16" s="33">
        <f t="shared" si="0"/>
        <v>18</v>
      </c>
      <c r="K16" s="79">
        <f t="shared" si="0"/>
        <v>21</v>
      </c>
      <c r="L16">
        <f t="shared" si="4"/>
        <v>19.5</v>
      </c>
      <c r="N16" s="24" t="s">
        <v>100</v>
      </c>
      <c r="O16" s="24" t="s">
        <v>76</v>
      </c>
      <c r="P16" s="24" t="s">
        <v>37</v>
      </c>
      <c r="Q16" s="24" t="s">
        <v>78</v>
      </c>
      <c r="R16" s="24" t="s">
        <v>68</v>
      </c>
      <c r="S16" s="24" t="s">
        <v>101</v>
      </c>
      <c r="T16" s="24" t="s">
        <v>102</v>
      </c>
      <c r="W16" s="83">
        <f t="shared" si="12"/>
        <v>11</v>
      </c>
      <c r="X16" s="25">
        <f t="shared" si="5"/>
        <v>14</v>
      </c>
      <c r="Y16" s="33">
        <f t="shared" si="3"/>
        <v>25</v>
      </c>
      <c r="Z16" s="33">
        <f t="shared" si="3"/>
        <v>18</v>
      </c>
      <c r="AA16" s="26">
        <f t="shared" si="3"/>
        <v>21</v>
      </c>
      <c r="AC16" s="83">
        <f t="shared" si="13"/>
        <v>11</v>
      </c>
      <c r="AD16" s="6">
        <f t="shared" si="6"/>
        <v>-11</v>
      </c>
      <c r="AE16" s="7">
        <f t="shared" si="7"/>
        <v>-4</v>
      </c>
      <c r="AF16" s="7">
        <f t="shared" si="8"/>
        <v>-7</v>
      </c>
      <c r="AG16" s="7">
        <f t="shared" si="9"/>
        <v>7</v>
      </c>
      <c r="AH16" s="7">
        <f t="shared" si="10"/>
        <v>4</v>
      </c>
      <c r="AI16" s="8">
        <f t="shared" si="11"/>
        <v>-3</v>
      </c>
      <c r="AQ16" t="s">
        <v>156</v>
      </c>
      <c r="AR16" s="78" t="e">
        <f ca="1">AR12</f>
        <v>#NAME?</v>
      </c>
      <c r="AT16" s="14" t="s">
        <v>198</v>
      </c>
    </row>
    <row r="17" spans="1:46" x14ac:dyDescent="0.25">
      <c r="A17" s="83">
        <f t="shared" si="1"/>
        <v>14</v>
      </c>
      <c r="B17" s="75">
        <v>3</v>
      </c>
      <c r="C17" s="33">
        <v>9</v>
      </c>
      <c r="D17" s="33">
        <v>13</v>
      </c>
      <c r="E17" s="26">
        <v>16</v>
      </c>
      <c r="G17" s="83">
        <f t="shared" si="2"/>
        <v>12</v>
      </c>
      <c r="H17" s="75">
        <f t="shared" si="0"/>
        <v>24</v>
      </c>
      <c r="I17" s="33">
        <f t="shared" si="0"/>
        <v>26</v>
      </c>
      <c r="J17" s="33">
        <f t="shared" si="0"/>
        <v>21</v>
      </c>
      <c r="K17" s="79">
        <f t="shared" si="0"/>
        <v>23</v>
      </c>
      <c r="L17">
        <f t="shared" si="4"/>
        <v>23.5</v>
      </c>
      <c r="N17" t="s">
        <v>47</v>
      </c>
      <c r="O17">
        <f>O6</f>
        <v>833.25000000000023</v>
      </c>
      <c r="P17" t="e">
        <f ca="1">P6*J48</f>
        <v>#NAME?</v>
      </c>
      <c r="Q17" t="e">
        <f ca="1">O17/P17</f>
        <v>#NAME?</v>
      </c>
      <c r="R17" t="e">
        <f ca="1">Q17/Q18</f>
        <v>#NAME?</v>
      </c>
      <c r="S17" t="e">
        <f ca="1">FDIST(R17,P17,P18)</f>
        <v>#NAME?</v>
      </c>
      <c r="T17" t="e">
        <f ca="1">FINV(S15,P17,P18)</f>
        <v>#NAME?</v>
      </c>
      <c r="W17" s="83">
        <f t="shared" si="12"/>
        <v>12</v>
      </c>
      <c r="X17" s="25">
        <f t="shared" si="5"/>
        <v>24</v>
      </c>
      <c r="Y17" s="33">
        <f t="shared" si="3"/>
        <v>26</v>
      </c>
      <c r="Z17" s="33">
        <f t="shared" si="3"/>
        <v>21</v>
      </c>
      <c r="AA17" s="26">
        <f t="shared" si="3"/>
        <v>23</v>
      </c>
      <c r="AC17" s="83">
        <f t="shared" si="13"/>
        <v>12</v>
      </c>
      <c r="AD17" s="6">
        <f t="shared" si="6"/>
        <v>-2</v>
      </c>
      <c r="AE17" s="7">
        <f t="shared" si="7"/>
        <v>3</v>
      </c>
      <c r="AF17" s="7">
        <f t="shared" si="8"/>
        <v>1</v>
      </c>
      <c r="AG17" s="7">
        <f t="shared" si="9"/>
        <v>5</v>
      </c>
      <c r="AH17" s="7">
        <f t="shared" si="10"/>
        <v>3</v>
      </c>
      <c r="AI17" s="8">
        <f t="shared" si="11"/>
        <v>-2</v>
      </c>
      <c r="AQ17" t="s">
        <v>157</v>
      </c>
      <c r="AR17" s="78" t="e">
        <f ca="1">AR14*(AR15-1)*AR16-2</f>
        <v>#NAME?</v>
      </c>
      <c r="AT17" s="14" t="s">
        <v>199</v>
      </c>
    </row>
    <row r="18" spans="1:46" x14ac:dyDescent="0.25">
      <c r="A18" s="83">
        <f t="shared" si="1"/>
        <v>15</v>
      </c>
      <c r="B18" s="66">
        <v>2</v>
      </c>
      <c r="C18" s="67">
        <v>8</v>
      </c>
      <c r="D18" s="67">
        <v>6</v>
      </c>
      <c r="E18" s="28">
        <v>10</v>
      </c>
      <c r="G18" s="83">
        <f t="shared" si="2"/>
        <v>13</v>
      </c>
      <c r="H18" s="75">
        <f t="shared" si="0"/>
        <v>9</v>
      </c>
      <c r="I18" s="33">
        <f t="shared" si="0"/>
        <v>12</v>
      </c>
      <c r="J18" s="33">
        <f t="shared" si="0"/>
        <v>20</v>
      </c>
      <c r="K18" s="79">
        <f t="shared" si="0"/>
        <v>23</v>
      </c>
      <c r="L18">
        <f t="shared" si="4"/>
        <v>16</v>
      </c>
      <c r="N18" t="s">
        <v>122</v>
      </c>
      <c r="O18">
        <f>O7</f>
        <v>400.49999999999977</v>
      </c>
      <c r="P18" t="e">
        <f ca="1">P7*J48</f>
        <v>#NAME?</v>
      </c>
      <c r="Q18" t="e">
        <f ca="1">O18/P18</f>
        <v>#NAME?</v>
      </c>
      <c r="W18" s="83">
        <f t="shared" si="12"/>
        <v>13</v>
      </c>
      <c r="X18" s="25">
        <f t="shared" si="5"/>
        <v>9</v>
      </c>
      <c r="Y18" s="33">
        <f t="shared" si="3"/>
        <v>12</v>
      </c>
      <c r="Z18" s="33">
        <f t="shared" si="3"/>
        <v>20</v>
      </c>
      <c r="AA18" s="26">
        <f t="shared" si="3"/>
        <v>23</v>
      </c>
      <c r="AC18" s="83">
        <f t="shared" si="13"/>
        <v>13</v>
      </c>
      <c r="AD18" s="6">
        <f t="shared" si="6"/>
        <v>-3</v>
      </c>
      <c r="AE18" s="7">
        <f t="shared" si="7"/>
        <v>-11</v>
      </c>
      <c r="AF18" s="7">
        <f t="shared" si="8"/>
        <v>-14</v>
      </c>
      <c r="AG18" s="7">
        <f t="shared" si="9"/>
        <v>-8</v>
      </c>
      <c r="AH18" s="7">
        <f t="shared" si="10"/>
        <v>-11</v>
      </c>
      <c r="AI18" s="8">
        <f t="shared" si="11"/>
        <v>-3</v>
      </c>
      <c r="AQ18" t="s">
        <v>158</v>
      </c>
      <c r="AR18" s="78" t="e">
        <f ca="1">(AR15-1)*(AR14-1-(AR15-1)*AR16)</f>
        <v>#NAME?</v>
      </c>
      <c r="AT18" s="14" t="s">
        <v>200</v>
      </c>
    </row>
    <row r="19" spans="1:46" x14ac:dyDescent="0.25">
      <c r="G19" s="83">
        <f t="shared" si="2"/>
        <v>14</v>
      </c>
      <c r="H19" s="75">
        <f t="shared" si="0"/>
        <v>3</v>
      </c>
      <c r="I19" s="33">
        <f t="shared" si="0"/>
        <v>9</v>
      </c>
      <c r="J19" s="33">
        <f t="shared" si="0"/>
        <v>13</v>
      </c>
      <c r="K19" s="79">
        <f t="shared" si="0"/>
        <v>16</v>
      </c>
      <c r="L19">
        <f t="shared" si="4"/>
        <v>10.25</v>
      </c>
      <c r="N19" s="103"/>
      <c r="O19" s="103"/>
      <c r="P19" s="103"/>
      <c r="Q19" s="103"/>
      <c r="R19" s="103"/>
      <c r="S19" s="103"/>
      <c r="T19" s="103"/>
      <c r="W19" s="83">
        <f t="shared" si="12"/>
        <v>14</v>
      </c>
      <c r="X19" s="25">
        <f t="shared" si="5"/>
        <v>3</v>
      </c>
      <c r="Y19" s="33">
        <f t="shared" si="3"/>
        <v>9</v>
      </c>
      <c r="Z19" s="33">
        <f t="shared" si="3"/>
        <v>13</v>
      </c>
      <c r="AA19" s="26">
        <f t="shared" si="3"/>
        <v>16</v>
      </c>
      <c r="AC19" s="83">
        <f t="shared" si="13"/>
        <v>14</v>
      </c>
      <c r="AD19" s="6">
        <f t="shared" si="6"/>
        <v>-6</v>
      </c>
      <c r="AE19" s="7">
        <f t="shared" si="7"/>
        <v>-10</v>
      </c>
      <c r="AF19" s="7">
        <f t="shared" si="8"/>
        <v>-13</v>
      </c>
      <c r="AG19" s="7">
        <f t="shared" si="9"/>
        <v>-4</v>
      </c>
      <c r="AH19" s="7">
        <f t="shared" si="10"/>
        <v>-7</v>
      </c>
      <c r="AI19" s="8">
        <f t="shared" si="11"/>
        <v>-3</v>
      </c>
      <c r="AQ19" t="s">
        <v>159</v>
      </c>
      <c r="AR19" s="58" t="e">
        <f ca="1">MIN(AR17/AR18,1)</f>
        <v>#NAME?</v>
      </c>
      <c r="AT19" s="14" t="s">
        <v>201</v>
      </c>
    </row>
    <row r="20" spans="1:46" x14ac:dyDescent="0.25">
      <c r="G20" s="83">
        <f t="shared" si="2"/>
        <v>15</v>
      </c>
      <c r="H20" s="66">
        <f t="shared" si="0"/>
        <v>2</v>
      </c>
      <c r="I20" s="67">
        <f t="shared" si="0"/>
        <v>8</v>
      </c>
      <c r="J20" s="67">
        <f t="shared" si="0"/>
        <v>6</v>
      </c>
      <c r="K20" s="80">
        <f t="shared" si="0"/>
        <v>10</v>
      </c>
      <c r="L20">
        <f t="shared" si="4"/>
        <v>6.5</v>
      </c>
      <c r="W20" s="83">
        <f t="shared" si="12"/>
        <v>15</v>
      </c>
      <c r="X20" s="27">
        <f t="shared" si="5"/>
        <v>2</v>
      </c>
      <c r="Y20" s="85">
        <f t="shared" si="3"/>
        <v>8</v>
      </c>
      <c r="Z20" s="85">
        <f t="shared" si="3"/>
        <v>6</v>
      </c>
      <c r="AA20" s="28">
        <f t="shared" si="3"/>
        <v>10</v>
      </c>
      <c r="AC20" s="83">
        <f t="shared" si="13"/>
        <v>15</v>
      </c>
      <c r="AD20" s="9">
        <f t="shared" si="6"/>
        <v>-6</v>
      </c>
      <c r="AE20" s="10">
        <f t="shared" si="7"/>
        <v>-4</v>
      </c>
      <c r="AF20" s="10">
        <f t="shared" si="8"/>
        <v>-8</v>
      </c>
      <c r="AG20" s="10">
        <f t="shared" si="9"/>
        <v>2</v>
      </c>
      <c r="AH20" s="10">
        <f t="shared" si="10"/>
        <v>-2</v>
      </c>
      <c r="AI20" s="11">
        <f t="shared" si="11"/>
        <v>-4</v>
      </c>
    </row>
    <row r="21" spans="1:46" x14ac:dyDescent="0.25">
      <c r="G21" t="s">
        <v>8</v>
      </c>
      <c r="H21">
        <f>AVERAGE(H6:H20)</f>
        <v>12.533333333333333</v>
      </c>
      <c r="I21">
        <f>AVERAGE(I6:I20)</f>
        <v>18.333333333333332</v>
      </c>
      <c r="J21">
        <f>AVERAGE(J6:J20)</f>
        <v>19.933333333333334</v>
      </c>
      <c r="K21">
        <f>AVERAGE(K6:K20)</f>
        <v>22.733333333333334</v>
      </c>
      <c r="L21">
        <f>AVERAGE(L6:L20)</f>
        <v>18.383333333333333</v>
      </c>
      <c r="N21" t="s">
        <v>202</v>
      </c>
      <c r="W21" s="83" t="s">
        <v>7</v>
      </c>
      <c r="X21" s="83">
        <f>VAR(X6:X20)</f>
        <v>55.838095238095221</v>
      </c>
      <c r="Y21" s="83">
        <f>VAR(Y6:Y20)</f>
        <v>35.523809523809504</v>
      </c>
      <c r="Z21" s="83">
        <f>VAR(Z6:Z20)</f>
        <v>41.352380952380955</v>
      </c>
      <c r="AA21" s="83">
        <f>VAR(AA6:AA20)</f>
        <v>34.352380952380955</v>
      </c>
      <c r="AC21" s="83" t="s">
        <v>6</v>
      </c>
      <c r="AD21">
        <f t="shared" ref="AD21:AI21" si="14">AVERAGE(AD6:AD20)</f>
        <v>-5.8</v>
      </c>
      <c r="AE21">
        <f t="shared" si="14"/>
        <v>-7.4</v>
      </c>
      <c r="AF21">
        <f t="shared" si="14"/>
        <v>-10.199999999999999</v>
      </c>
      <c r="AG21">
        <f t="shared" si="14"/>
        <v>-1.6</v>
      </c>
      <c r="AH21">
        <f t="shared" si="14"/>
        <v>-4.4000000000000004</v>
      </c>
      <c r="AI21">
        <f t="shared" si="14"/>
        <v>-2.8</v>
      </c>
      <c r="AQ21" t="s">
        <v>203</v>
      </c>
      <c r="AR21" s="106">
        <f>1/(AR15-1)</f>
        <v>0.33333333333333331</v>
      </c>
      <c r="AT21" s="14" t="s">
        <v>204</v>
      </c>
    </row>
    <row r="22" spans="1:46" x14ac:dyDescent="0.25">
      <c r="G22" t="s">
        <v>48</v>
      </c>
      <c r="H22">
        <f>VAR(H6:H20)</f>
        <v>55.838095238095221</v>
      </c>
      <c r="I22">
        <f>VAR(I6:I20)</f>
        <v>35.523809523809504</v>
      </c>
      <c r="J22">
        <f>VAR(J6:J20)</f>
        <v>41.352380952380955</v>
      </c>
      <c r="K22">
        <f>VAR(K6:K20)</f>
        <v>34.352380952380955</v>
      </c>
      <c r="L22">
        <f>VAR(L6:L20)</f>
        <v>34.614880952380972</v>
      </c>
      <c r="AC22" s="83" t="s">
        <v>7</v>
      </c>
      <c r="AD22">
        <f t="shared" ref="AD22:AI22" si="15">VAR(AD6:AD20)</f>
        <v>12.314285714285713</v>
      </c>
      <c r="AE22">
        <f t="shared" si="15"/>
        <v>29.685714285714287</v>
      </c>
      <c r="AF22">
        <f t="shared" si="15"/>
        <v>33.028571428571432</v>
      </c>
      <c r="AG22">
        <f t="shared" si="15"/>
        <v>18.542857142857144</v>
      </c>
      <c r="AH22">
        <f t="shared" si="15"/>
        <v>19.542857142857144</v>
      </c>
      <c r="AI22">
        <f t="shared" si="15"/>
        <v>1.3142857142857147</v>
      </c>
    </row>
    <row r="23" spans="1:46" x14ac:dyDescent="0.25">
      <c r="N23" t="s">
        <v>16</v>
      </c>
      <c r="O23" s="105">
        <f>P5+1</f>
        <v>15</v>
      </c>
      <c r="AD23" t="e">
        <f ca="1">W25+X26-2*X25</f>
        <v>#NAME?</v>
      </c>
      <c r="AE23" t="e">
        <f ca="1">W25+Y27-2*Y25</f>
        <v>#NAME?</v>
      </c>
      <c r="AF23" t="e">
        <f ca="1">W25+Z28-2*Z25</f>
        <v>#NAME?</v>
      </c>
      <c r="AG23" t="e">
        <f ca="1">X26+Y27-2*Y26</f>
        <v>#NAME?</v>
      </c>
      <c r="AH23" t="e">
        <f ca="1">X26+Z28-2*Z26</f>
        <v>#NAME?</v>
      </c>
      <c r="AI23" t="e">
        <f ca="1">Y27+Z28-2*Z27</f>
        <v>#NAME?</v>
      </c>
    </row>
    <row r="24" spans="1:46" ht="15.75" thickBot="1" x14ac:dyDescent="0.3">
      <c r="G24" t="s">
        <v>144</v>
      </c>
      <c r="N24" t="s">
        <v>34</v>
      </c>
      <c r="O24" s="78">
        <f>P6+1</f>
        <v>4</v>
      </c>
      <c r="W24" s="83" t="s">
        <v>177</v>
      </c>
      <c r="X24" s="83" t="s">
        <v>178</v>
      </c>
      <c r="Y24" s="83" t="s">
        <v>179</v>
      </c>
      <c r="Z24" s="83" t="s">
        <v>180</v>
      </c>
      <c r="AA24" s="83" t="s">
        <v>6</v>
      </c>
    </row>
    <row r="25" spans="1:46" ht="15.75" thickTop="1" x14ac:dyDescent="0.25">
      <c r="G25" s="68" t="s">
        <v>145</v>
      </c>
      <c r="H25" s="68">
        <f>COUNT(H6:H20)</f>
        <v>15</v>
      </c>
      <c r="N25" t="s">
        <v>205</v>
      </c>
      <c r="O25" s="78">
        <f>Q5</f>
        <v>138.4595238095238</v>
      </c>
      <c r="V25" s="12" t="s">
        <v>177</v>
      </c>
      <c r="W25" s="102" t="e">
        <f t="array" aca="1" ref="W25:Z28" ca="1">COV(X6:AA20)</f>
        <v>#NAME?</v>
      </c>
      <c r="X25" s="103" t="e">
        <f ca="1"/>
        <v>#NAME?</v>
      </c>
      <c r="Y25" s="103" t="e">
        <f ca="1"/>
        <v>#NAME?</v>
      </c>
      <c r="Z25" s="104" t="e">
        <f ca="1"/>
        <v>#NAME?</v>
      </c>
      <c r="AA25" t="e">
        <f ca="1">AVERAGE(W25:Z25)</f>
        <v>#NAME?</v>
      </c>
    </row>
    <row r="26" spans="1:46" x14ac:dyDescent="0.25">
      <c r="G26" t="s">
        <v>47</v>
      </c>
      <c r="H26">
        <f>COUNT(H6:K6)</f>
        <v>4</v>
      </c>
      <c r="N26" t="s">
        <v>206</v>
      </c>
      <c r="O26" s="78" t="e">
        <f ca="1">Q12</f>
        <v>#NAME?</v>
      </c>
      <c r="V26" s="12" t="s">
        <v>178</v>
      </c>
      <c r="W26" s="6" t="e">
        <f ca="1"/>
        <v>#NAME?</v>
      </c>
      <c r="X26" s="7" t="e">
        <f ca="1"/>
        <v>#NAME?</v>
      </c>
      <c r="Y26" s="7" t="e">
        <f ca="1"/>
        <v>#NAME?</v>
      </c>
      <c r="Z26" s="8" t="e">
        <f ca="1"/>
        <v>#NAME?</v>
      </c>
      <c r="AA26" t="e">
        <f ca="1">AVERAGE(W26:Z26)</f>
        <v>#NAME?</v>
      </c>
    </row>
    <row r="27" spans="1:46" x14ac:dyDescent="0.25">
      <c r="G27" s="103"/>
      <c r="H27" s="103"/>
      <c r="N27" t="s">
        <v>207</v>
      </c>
      <c r="O27" s="78" t="e">
        <f ca="1">Q13</f>
        <v>#NAME?</v>
      </c>
      <c r="V27" s="12" t="s">
        <v>179</v>
      </c>
      <c r="W27" s="6" t="e">
        <f ca="1"/>
        <v>#NAME?</v>
      </c>
      <c r="X27" s="7" t="e">
        <f ca="1"/>
        <v>#NAME?</v>
      </c>
      <c r="Y27" s="7" t="e">
        <f ca="1"/>
        <v>#NAME?</v>
      </c>
      <c r="Z27" s="8" t="e">
        <f ca="1"/>
        <v>#NAME?</v>
      </c>
      <c r="AA27" t="e">
        <f ca="1">AVERAGE(W27:Z27)</f>
        <v>#NAME?</v>
      </c>
    </row>
    <row r="28" spans="1:46" x14ac:dyDescent="0.25">
      <c r="G28" t="s">
        <v>146</v>
      </c>
      <c r="N28" t="s">
        <v>208</v>
      </c>
      <c r="O28" s="78" t="e">
        <f ca="1">(O23-O24)/(O23*O24)*(O26-O27)</f>
        <v>#NAME?</v>
      </c>
      <c r="V28" s="12" t="s">
        <v>180</v>
      </c>
      <c r="W28" s="9" t="e">
        <f ca="1"/>
        <v>#NAME?</v>
      </c>
      <c r="X28" s="10" t="e">
        <f ca="1"/>
        <v>#NAME?</v>
      </c>
      <c r="Y28" s="10" t="e">
        <f ca="1"/>
        <v>#NAME?</v>
      </c>
      <c r="Z28" s="11" t="e">
        <f ca="1"/>
        <v>#NAME?</v>
      </c>
      <c r="AA28" t="e">
        <f ca="1">AVERAGE(W28:Z28)</f>
        <v>#NAME?</v>
      </c>
    </row>
    <row r="29" spans="1:46" x14ac:dyDescent="0.25">
      <c r="N29" t="s">
        <v>209</v>
      </c>
      <c r="O29" s="78" t="e">
        <f ca="1">O26+(O25-O27)/O24+O28</f>
        <v>#NAME?</v>
      </c>
    </row>
    <row r="30" spans="1:46" ht="15.75" thickBot="1" x14ac:dyDescent="0.3">
      <c r="H30" s="96" t="e">
        <f t="array" aca="1" ref="H30:K33" ca="1">COV(H6:K20)</f>
        <v>#NAME?</v>
      </c>
      <c r="I30" s="97" t="e">
        <f ca="1"/>
        <v>#NAME?</v>
      </c>
      <c r="J30" s="97" t="e">
        <f ca="1"/>
        <v>#NAME?</v>
      </c>
      <c r="K30" s="98" t="e">
        <f ca="1"/>
        <v>#NAME?</v>
      </c>
      <c r="N30" t="s">
        <v>210</v>
      </c>
      <c r="O30" s="58" t="e">
        <f ca="1">O28/O29</f>
        <v>#NAME?</v>
      </c>
    </row>
    <row r="31" spans="1:46" x14ac:dyDescent="0.25">
      <c r="H31" s="76" t="e">
        <f ca="1"/>
        <v>#NAME?</v>
      </c>
      <c r="I31" s="7" t="e">
        <f ca="1"/>
        <v>#NAME?</v>
      </c>
      <c r="J31" s="7" t="e">
        <f ca="1"/>
        <v>#NAME?</v>
      </c>
      <c r="K31" s="35" t="e">
        <f ca="1"/>
        <v>#NAME?</v>
      </c>
      <c r="AQ31" s="84" t="s">
        <v>62</v>
      </c>
      <c r="AR31" s="84" t="s">
        <v>108</v>
      </c>
    </row>
    <row r="32" spans="1:46" x14ac:dyDescent="0.25">
      <c r="H32" s="76" t="e">
        <f ca="1"/>
        <v>#NAME?</v>
      </c>
      <c r="I32" s="7" t="e">
        <f ca="1"/>
        <v>#NAME?</v>
      </c>
      <c r="J32" s="7" t="e">
        <f ca="1"/>
        <v>#NAME?</v>
      </c>
      <c r="K32" s="35" t="e">
        <f ca="1"/>
        <v>#NAME?</v>
      </c>
      <c r="AQ32" s="16">
        <v>8.1670607503920066E-12</v>
      </c>
      <c r="AR32" s="16">
        <v>1.9350088132446253</v>
      </c>
    </row>
    <row r="33" spans="7:44" x14ac:dyDescent="0.25">
      <c r="H33" s="50" t="e">
        <f ca="1"/>
        <v>#NAME?</v>
      </c>
      <c r="I33" s="69" t="e">
        <f ca="1"/>
        <v>#NAME?</v>
      </c>
      <c r="J33" s="69" t="e">
        <f ca="1"/>
        <v>#NAME?</v>
      </c>
      <c r="K33" s="51" t="e">
        <f ca="1"/>
        <v>#NAME?</v>
      </c>
      <c r="AQ33" s="16">
        <v>2.39621816316698E-10</v>
      </c>
      <c r="AR33" s="16">
        <v>2.8270487120861261</v>
      </c>
    </row>
    <row r="34" spans="7:44" x14ac:dyDescent="0.25">
      <c r="G34" t="s">
        <v>8</v>
      </c>
      <c r="H34" t="e">
        <f ca="1">AVERAGE(H30:H33)</f>
        <v>#NAME?</v>
      </c>
      <c r="I34" t="e">
        <f ca="1">AVERAGE(I30:I33)</f>
        <v>#NAME?</v>
      </c>
      <c r="J34" t="e">
        <f ca="1">AVERAGE(J30:J33)</f>
        <v>#NAME?</v>
      </c>
      <c r="K34" t="e">
        <f ca="1">AVERAGE(K30:K33)</f>
        <v>#NAME?</v>
      </c>
      <c r="AQ34" s="16"/>
      <c r="AR34" s="16"/>
    </row>
    <row r="35" spans="7:44" x14ac:dyDescent="0.25">
      <c r="AQ35" s="16"/>
      <c r="AR35" s="16"/>
    </row>
    <row r="36" spans="7:44" ht="15.75" thickBot="1" x14ac:dyDescent="0.3">
      <c r="G36" t="s">
        <v>147</v>
      </c>
      <c r="AQ36" s="17"/>
      <c r="AR36" s="17"/>
    </row>
    <row r="37" spans="7:44" x14ac:dyDescent="0.25">
      <c r="H37" t="s">
        <v>148</v>
      </c>
      <c r="J37">
        <f>H25</f>
        <v>15</v>
      </c>
    </row>
    <row r="38" spans="7:44" x14ac:dyDescent="0.25">
      <c r="H38" t="s">
        <v>149</v>
      </c>
      <c r="J38">
        <f>H26</f>
        <v>4</v>
      </c>
    </row>
    <row r="39" spans="7:44" x14ac:dyDescent="0.25">
      <c r="H39" t="s">
        <v>150</v>
      </c>
      <c r="J39">
        <f>AVERAGE(H22:K22)</f>
        <v>41.766666666666652</v>
      </c>
    </row>
    <row r="40" spans="7:44" x14ac:dyDescent="0.25">
      <c r="H40" t="s">
        <v>151</v>
      </c>
      <c r="J40" t="e">
        <f ca="1">AVERAGE(H30:K33)</f>
        <v>#NAME?</v>
      </c>
    </row>
    <row r="41" spans="7:44" x14ac:dyDescent="0.25">
      <c r="H41" t="s">
        <v>152</v>
      </c>
      <c r="J41" t="e">
        <f ca="1">SUMSQ(H30:K33)</f>
        <v>#NAME?</v>
      </c>
    </row>
    <row r="42" spans="7:44" x14ac:dyDescent="0.25">
      <c r="H42" t="s">
        <v>153</v>
      </c>
      <c r="J42" t="e">
        <f ca="1">SUMSQ(H34:K34)</f>
        <v>#NAME?</v>
      </c>
    </row>
    <row r="43" spans="7:44" x14ac:dyDescent="0.25">
      <c r="H43" t="s">
        <v>154</v>
      </c>
      <c r="J43" t="e">
        <f ca="1">(J38*(J39-J40))^2</f>
        <v>#NAME?</v>
      </c>
    </row>
    <row r="44" spans="7:44" x14ac:dyDescent="0.25">
      <c r="H44" t="s">
        <v>155</v>
      </c>
      <c r="J44" t="e">
        <f ca="1">(J38-1)*(J41-2*J38*J42+J38^2*J40^2)</f>
        <v>#NAME?</v>
      </c>
    </row>
    <row r="45" spans="7:44" x14ac:dyDescent="0.25">
      <c r="H45" t="s">
        <v>156</v>
      </c>
      <c r="J45" t="e">
        <f ca="1">J43/J44</f>
        <v>#NAME?</v>
      </c>
    </row>
    <row r="46" spans="7:44" x14ac:dyDescent="0.25">
      <c r="H46" t="s">
        <v>157</v>
      </c>
      <c r="J46" t="e">
        <f ca="1">J37*(J38-1)*J45-2</f>
        <v>#NAME?</v>
      </c>
    </row>
    <row r="47" spans="7:44" x14ac:dyDescent="0.25">
      <c r="H47" t="s">
        <v>158</v>
      </c>
      <c r="J47" t="e">
        <f ca="1">(J38-1)*(J37-1-(J38-1)*J45)</f>
        <v>#NAME?</v>
      </c>
    </row>
    <row r="48" spans="7:44" x14ac:dyDescent="0.25">
      <c r="H48" t="s">
        <v>159</v>
      </c>
      <c r="J48" t="e">
        <f ca="1">MIN(J46/J47,1)</f>
        <v>#NAME?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8"/>
  <dimension ref="A1:T25"/>
  <sheetViews>
    <sheetView workbookViewId="0"/>
  </sheetViews>
  <sheetFormatPr defaultRowHeight="15" x14ac:dyDescent="0.25"/>
  <cols>
    <col min="7" max="7" width="11.42578125" customWidth="1"/>
    <col min="13" max="13" width="6" customWidth="1"/>
  </cols>
  <sheetData>
    <row r="1" spans="1:20" x14ac:dyDescent="0.25">
      <c r="A1" s="1" t="s">
        <v>290</v>
      </c>
    </row>
    <row r="3" spans="1:20" ht="15.75" thickBot="1" x14ac:dyDescent="0.3">
      <c r="A3" s="219" t="s">
        <v>35</v>
      </c>
      <c r="B3" s="219" t="s">
        <v>52</v>
      </c>
      <c r="C3" s="219" t="s">
        <v>165</v>
      </c>
      <c r="D3" s="219" t="s">
        <v>166</v>
      </c>
      <c r="E3" s="219" t="s">
        <v>167</v>
      </c>
      <c r="G3" t="s">
        <v>99</v>
      </c>
      <c r="N3" t="s">
        <v>84</v>
      </c>
      <c r="R3" t="s">
        <v>17</v>
      </c>
      <c r="S3">
        <v>0.05</v>
      </c>
    </row>
    <row r="4" spans="1:20" ht="15.75" thickTop="1" x14ac:dyDescent="0.25">
      <c r="A4" s="219">
        <v>1</v>
      </c>
      <c r="B4" s="92">
        <v>16</v>
      </c>
      <c r="C4" s="93">
        <v>22</v>
      </c>
      <c r="D4" s="93">
        <v>23</v>
      </c>
      <c r="E4" s="94">
        <v>25</v>
      </c>
      <c r="N4" s="191" t="s">
        <v>100</v>
      </c>
      <c r="O4" s="191" t="s">
        <v>76</v>
      </c>
      <c r="P4" s="191" t="s">
        <v>37</v>
      </c>
      <c r="Q4" s="191" t="s">
        <v>78</v>
      </c>
      <c r="R4" s="191" t="s">
        <v>68</v>
      </c>
      <c r="S4" s="191" t="s">
        <v>101</v>
      </c>
      <c r="T4" s="191" t="s">
        <v>102</v>
      </c>
    </row>
    <row r="5" spans="1:20" x14ac:dyDescent="0.25">
      <c r="A5" s="219">
        <f>A4+1</f>
        <v>2</v>
      </c>
      <c r="B5" s="75">
        <v>12</v>
      </c>
      <c r="C5" s="222">
        <v>18</v>
      </c>
      <c r="D5" s="222">
        <v>24</v>
      </c>
      <c r="E5" s="72">
        <v>29</v>
      </c>
      <c r="G5" t="str">
        <f>A3</f>
        <v>Subject</v>
      </c>
      <c r="H5" t="str">
        <f>B3</f>
        <v>Before</v>
      </c>
      <c r="I5" t="str">
        <f>C3</f>
        <v>1 week</v>
      </c>
      <c r="J5" t="str">
        <f>D3</f>
        <v>2 weeks</v>
      </c>
      <c r="K5" t="str">
        <f>E3</f>
        <v>3 weeks</v>
      </c>
      <c r="L5" s="219" t="s">
        <v>8</v>
      </c>
      <c r="N5" t="s">
        <v>145</v>
      </c>
      <c r="O5">
        <f>(P6+1)*DEVSQ(L6:L20)</f>
        <v>1938.4333333333334</v>
      </c>
      <c r="P5">
        <f>COUNT(H6:H20)-1</f>
        <v>14</v>
      </c>
      <c r="Q5">
        <f>O5/P5</f>
        <v>138.4595238095238</v>
      </c>
      <c r="R5">
        <f>Q5/Q7</f>
        <v>14.520099875156061</v>
      </c>
      <c r="S5">
        <f>FDIST(R5,P5,P7)</f>
        <v>8.1670607503918935E-12</v>
      </c>
      <c r="T5">
        <f>FINV(S3,P5,P7)</f>
        <v>1.9350088132446253</v>
      </c>
    </row>
    <row r="6" spans="1:20" x14ac:dyDescent="0.25">
      <c r="A6" s="219">
        <f t="shared" ref="A6:A18" si="0">A5+1</f>
        <v>3</v>
      </c>
      <c r="B6" s="75">
        <v>23</v>
      </c>
      <c r="C6" s="222">
        <v>24</v>
      </c>
      <c r="D6" s="222">
        <v>26</v>
      </c>
      <c r="E6" s="26">
        <v>27</v>
      </c>
      <c r="G6">
        <f t="shared" ref="G6:G20" si="1">A4</f>
        <v>1</v>
      </c>
      <c r="H6" s="203">
        <f t="shared" ref="H6:H20" si="2">B4</f>
        <v>16</v>
      </c>
      <c r="I6" s="187">
        <f t="shared" ref="I6:I20" si="3">C4</f>
        <v>22</v>
      </c>
      <c r="J6" s="187">
        <f t="shared" ref="J6:J20" si="4">D4</f>
        <v>23</v>
      </c>
      <c r="K6" s="204">
        <f t="shared" ref="K6:K20" si="5">E4</f>
        <v>25</v>
      </c>
      <c r="L6">
        <f>AVERAGE(H6:K6)</f>
        <v>21.5</v>
      </c>
      <c r="N6" t="s">
        <v>47</v>
      </c>
      <c r="O6">
        <f>(P5+1)*DEVSQ(H21:K21)</f>
        <v>833.25000000000023</v>
      </c>
      <c r="P6">
        <f>COUNT(H6:K6)-1</f>
        <v>3</v>
      </c>
      <c r="Q6">
        <f>O6/P6</f>
        <v>277.75000000000006</v>
      </c>
      <c r="R6">
        <f>Q6/Q7</f>
        <v>29.127340823970059</v>
      </c>
      <c r="S6">
        <f>FDIST(R6,P6,P7)</f>
        <v>2.3962181631669464E-10</v>
      </c>
      <c r="T6">
        <f>FINV(S3,P6,P7)</f>
        <v>2.8270487120861261</v>
      </c>
    </row>
    <row r="7" spans="1:20" x14ac:dyDescent="0.25">
      <c r="A7" s="219">
        <f t="shared" si="0"/>
        <v>4</v>
      </c>
      <c r="B7" s="75">
        <v>8</v>
      </c>
      <c r="C7" s="222">
        <v>20</v>
      </c>
      <c r="D7" s="222">
        <v>28</v>
      </c>
      <c r="E7" s="26">
        <v>30</v>
      </c>
      <c r="G7">
        <f t="shared" si="1"/>
        <v>2</v>
      </c>
      <c r="H7" s="76">
        <f t="shared" si="2"/>
        <v>12</v>
      </c>
      <c r="I7" s="7">
        <f t="shared" si="3"/>
        <v>18</v>
      </c>
      <c r="J7" s="7">
        <f t="shared" si="4"/>
        <v>24</v>
      </c>
      <c r="K7" s="35">
        <f t="shared" si="5"/>
        <v>29</v>
      </c>
      <c r="L7">
        <f t="shared" ref="L7:L20" si="6">AVERAGE(H7:K7)</f>
        <v>20.75</v>
      </c>
      <c r="N7" t="s">
        <v>122</v>
      </c>
      <c r="O7">
        <f>O8-O5-O6</f>
        <v>400.49999999999977</v>
      </c>
      <c r="P7">
        <f>P8-P5-P6</f>
        <v>42</v>
      </c>
      <c r="Q7">
        <f>O7/P7</f>
        <v>9.5357142857142811</v>
      </c>
    </row>
    <row r="8" spans="1:20" x14ac:dyDescent="0.25">
      <c r="A8" s="219">
        <f t="shared" si="0"/>
        <v>5</v>
      </c>
      <c r="B8" s="75">
        <v>3</v>
      </c>
      <c r="C8" s="222">
        <v>12</v>
      </c>
      <c r="D8" s="222">
        <v>13</v>
      </c>
      <c r="E8" s="26">
        <v>17</v>
      </c>
      <c r="G8">
        <f t="shared" si="1"/>
        <v>3</v>
      </c>
      <c r="H8" s="76">
        <f t="shared" si="2"/>
        <v>23</v>
      </c>
      <c r="I8" s="7">
        <f t="shared" si="3"/>
        <v>24</v>
      </c>
      <c r="J8" s="7">
        <f t="shared" si="4"/>
        <v>26</v>
      </c>
      <c r="K8" s="35">
        <f t="shared" si="5"/>
        <v>27</v>
      </c>
      <c r="L8">
        <f t="shared" si="6"/>
        <v>25</v>
      </c>
      <c r="N8" t="s">
        <v>1</v>
      </c>
      <c r="O8">
        <f>DEVSQ(H6:K20)</f>
        <v>3172.1833333333334</v>
      </c>
      <c r="P8">
        <f>(P5+1)*(P6+1)-1</f>
        <v>59</v>
      </c>
    </row>
    <row r="9" spans="1:20" x14ac:dyDescent="0.25">
      <c r="A9" s="219">
        <f t="shared" si="0"/>
        <v>6</v>
      </c>
      <c r="B9" s="75">
        <v>5</v>
      </c>
      <c r="C9" s="222">
        <v>13</v>
      </c>
      <c r="D9" s="222">
        <v>11</v>
      </c>
      <c r="E9" s="26">
        <v>15</v>
      </c>
      <c r="G9">
        <f t="shared" si="1"/>
        <v>4</v>
      </c>
      <c r="H9" s="76">
        <f t="shared" si="2"/>
        <v>8</v>
      </c>
      <c r="I9" s="7">
        <f t="shared" si="3"/>
        <v>20</v>
      </c>
      <c r="J9" s="7">
        <f t="shared" si="4"/>
        <v>28</v>
      </c>
      <c r="K9" s="35">
        <f t="shared" si="5"/>
        <v>30</v>
      </c>
      <c r="L9">
        <f t="shared" si="6"/>
        <v>21.5</v>
      </c>
      <c r="N9" s="205"/>
      <c r="O9" s="205"/>
      <c r="P9" s="205"/>
      <c r="Q9" s="205"/>
      <c r="R9" s="205"/>
      <c r="S9" s="205"/>
      <c r="T9" s="205"/>
    </row>
    <row r="10" spans="1:20" ht="15.75" thickBot="1" x14ac:dyDescent="0.3">
      <c r="A10" s="219">
        <f t="shared" si="0"/>
        <v>7</v>
      </c>
      <c r="B10" s="75">
        <v>19</v>
      </c>
      <c r="C10" s="222">
        <v>22</v>
      </c>
      <c r="D10" s="222">
        <v>25</v>
      </c>
      <c r="E10" s="26">
        <v>26</v>
      </c>
      <c r="G10">
        <f t="shared" si="1"/>
        <v>5</v>
      </c>
      <c r="H10" s="76">
        <f t="shared" si="2"/>
        <v>3</v>
      </c>
      <c r="I10" s="7">
        <f t="shared" si="3"/>
        <v>12</v>
      </c>
      <c r="J10" s="7">
        <f t="shared" si="4"/>
        <v>13</v>
      </c>
      <c r="K10" s="35">
        <f t="shared" si="5"/>
        <v>17</v>
      </c>
      <c r="L10">
        <f t="shared" si="6"/>
        <v>11.25</v>
      </c>
      <c r="N10" t="s">
        <v>160</v>
      </c>
      <c r="R10" t="s">
        <v>17</v>
      </c>
      <c r="S10">
        <v>0.05</v>
      </c>
    </row>
    <row r="11" spans="1:20" ht="15.75" thickTop="1" x14ac:dyDescent="0.25">
      <c r="A11" s="219">
        <f t="shared" si="0"/>
        <v>8</v>
      </c>
      <c r="B11" s="75">
        <v>22</v>
      </c>
      <c r="C11" s="222">
        <v>22</v>
      </c>
      <c r="D11" s="222">
        <v>23</v>
      </c>
      <c r="E11" s="26">
        <v>26</v>
      </c>
      <c r="G11">
        <f t="shared" si="1"/>
        <v>6</v>
      </c>
      <c r="H11" s="76">
        <f t="shared" si="2"/>
        <v>5</v>
      </c>
      <c r="I11" s="7">
        <f t="shared" si="3"/>
        <v>13</v>
      </c>
      <c r="J11" s="7">
        <f t="shared" si="4"/>
        <v>11</v>
      </c>
      <c r="K11" s="35">
        <f t="shared" si="5"/>
        <v>15</v>
      </c>
      <c r="L11">
        <f t="shared" si="6"/>
        <v>11</v>
      </c>
      <c r="N11" s="191" t="s">
        <v>100</v>
      </c>
      <c r="O11" s="191" t="s">
        <v>76</v>
      </c>
      <c r="P11" s="191" t="s">
        <v>37</v>
      </c>
      <c r="Q11" s="191" t="s">
        <v>78</v>
      </c>
      <c r="R11" s="191" t="s">
        <v>68</v>
      </c>
      <c r="S11" s="191" t="s">
        <v>101</v>
      </c>
      <c r="T11" s="191" t="s">
        <v>102</v>
      </c>
    </row>
    <row r="12" spans="1:20" x14ac:dyDescent="0.25">
      <c r="A12" s="219">
        <f t="shared" si="0"/>
        <v>9</v>
      </c>
      <c r="B12" s="75">
        <v>12</v>
      </c>
      <c r="C12" s="222">
        <v>20</v>
      </c>
      <c r="D12" s="222">
        <v>22</v>
      </c>
      <c r="E12" s="26">
        <v>24</v>
      </c>
      <c r="G12">
        <f t="shared" si="1"/>
        <v>7</v>
      </c>
      <c r="H12" s="76">
        <f t="shared" si="2"/>
        <v>19</v>
      </c>
      <c r="I12" s="7">
        <f t="shared" si="3"/>
        <v>22</v>
      </c>
      <c r="J12" s="7">
        <f t="shared" si="4"/>
        <v>25</v>
      </c>
      <c r="K12" s="35">
        <f t="shared" si="5"/>
        <v>26</v>
      </c>
      <c r="L12">
        <f t="shared" si="6"/>
        <v>23</v>
      </c>
      <c r="N12" t="s">
        <v>47</v>
      </c>
      <c r="O12">
        <f>O6</f>
        <v>833.25000000000023</v>
      </c>
      <c r="P12" t="e">
        <f ca="1">P6*H24</f>
        <v>#NAME?</v>
      </c>
      <c r="Q12" t="e">
        <f ca="1">O12/P12</f>
        <v>#NAME?</v>
      </c>
      <c r="R12" t="e">
        <f ca="1">Q12/Q13</f>
        <v>#NAME?</v>
      </c>
      <c r="S12" t="e">
        <f ca="1">FDIST(R12,P12,P13)</f>
        <v>#NAME?</v>
      </c>
      <c r="T12" t="e">
        <f ca="1">FINV(S10,P12,P13)</f>
        <v>#NAME?</v>
      </c>
    </row>
    <row r="13" spans="1:20" x14ac:dyDescent="0.25">
      <c r="A13" s="219">
        <f t="shared" si="0"/>
        <v>10</v>
      </c>
      <c r="B13" s="75">
        <v>16</v>
      </c>
      <c r="C13" s="222">
        <v>22</v>
      </c>
      <c r="D13" s="222">
        <v>26</v>
      </c>
      <c r="E13" s="26">
        <v>29</v>
      </c>
      <c r="G13">
        <f t="shared" si="1"/>
        <v>8</v>
      </c>
      <c r="H13" s="76">
        <f t="shared" si="2"/>
        <v>22</v>
      </c>
      <c r="I13" s="7">
        <f t="shared" si="3"/>
        <v>22</v>
      </c>
      <c r="J13" s="7">
        <f t="shared" si="4"/>
        <v>23</v>
      </c>
      <c r="K13" s="35">
        <f t="shared" si="5"/>
        <v>26</v>
      </c>
      <c r="L13">
        <f t="shared" si="6"/>
        <v>23.25</v>
      </c>
      <c r="N13" t="s">
        <v>122</v>
      </c>
      <c r="O13">
        <f>O7</f>
        <v>400.49999999999977</v>
      </c>
      <c r="P13" t="e">
        <f ca="1">P7*H24</f>
        <v>#NAME?</v>
      </c>
      <c r="Q13" t="e">
        <f ca="1">O13/P13</f>
        <v>#NAME?</v>
      </c>
    </row>
    <row r="14" spans="1:20" x14ac:dyDescent="0.25">
      <c r="A14" s="219">
        <f t="shared" si="0"/>
        <v>11</v>
      </c>
      <c r="B14" s="75">
        <v>14</v>
      </c>
      <c r="C14" s="222">
        <v>25</v>
      </c>
      <c r="D14" s="222">
        <v>18</v>
      </c>
      <c r="E14" s="26">
        <v>21</v>
      </c>
      <c r="G14">
        <f t="shared" si="1"/>
        <v>9</v>
      </c>
      <c r="H14" s="76">
        <f t="shared" si="2"/>
        <v>12</v>
      </c>
      <c r="I14" s="7">
        <f t="shared" si="3"/>
        <v>20</v>
      </c>
      <c r="J14" s="7">
        <f t="shared" si="4"/>
        <v>22</v>
      </c>
      <c r="K14" s="35">
        <f t="shared" si="5"/>
        <v>24</v>
      </c>
      <c r="L14">
        <f t="shared" si="6"/>
        <v>19.5</v>
      </c>
      <c r="N14" s="205"/>
      <c r="O14" s="205"/>
      <c r="P14" s="205"/>
      <c r="Q14" s="205"/>
      <c r="R14" s="205"/>
      <c r="S14" s="205"/>
      <c r="T14" s="205"/>
    </row>
    <row r="15" spans="1:20" ht="15.75" thickBot="1" x14ac:dyDescent="0.3">
      <c r="A15" s="219">
        <f t="shared" si="0"/>
        <v>12</v>
      </c>
      <c r="B15" s="75">
        <v>24</v>
      </c>
      <c r="C15" s="222">
        <v>26</v>
      </c>
      <c r="D15" s="222">
        <v>21</v>
      </c>
      <c r="E15" s="26">
        <v>23</v>
      </c>
      <c r="G15">
        <f t="shared" si="1"/>
        <v>10</v>
      </c>
      <c r="H15" s="76">
        <f t="shared" si="2"/>
        <v>16</v>
      </c>
      <c r="I15" s="7">
        <f t="shared" si="3"/>
        <v>22</v>
      </c>
      <c r="J15" s="7">
        <f t="shared" si="4"/>
        <v>26</v>
      </c>
      <c r="K15" s="35">
        <f t="shared" si="5"/>
        <v>29</v>
      </c>
      <c r="L15">
        <f t="shared" si="6"/>
        <v>23.25</v>
      </c>
      <c r="N15" t="s">
        <v>161</v>
      </c>
      <c r="R15" t="s">
        <v>17</v>
      </c>
      <c r="S15">
        <v>0.05</v>
      </c>
    </row>
    <row r="16" spans="1:20" ht="15.75" thickTop="1" x14ac:dyDescent="0.25">
      <c r="A16" s="219">
        <f t="shared" si="0"/>
        <v>13</v>
      </c>
      <c r="B16" s="75">
        <v>9</v>
      </c>
      <c r="C16" s="222">
        <v>12</v>
      </c>
      <c r="D16" s="222">
        <v>20</v>
      </c>
      <c r="E16" s="26">
        <v>23</v>
      </c>
      <c r="G16">
        <f t="shared" si="1"/>
        <v>11</v>
      </c>
      <c r="H16" s="76">
        <f t="shared" si="2"/>
        <v>14</v>
      </c>
      <c r="I16" s="7">
        <f t="shared" si="3"/>
        <v>25</v>
      </c>
      <c r="J16" s="7">
        <f t="shared" si="4"/>
        <v>18</v>
      </c>
      <c r="K16" s="35">
        <f t="shared" si="5"/>
        <v>21</v>
      </c>
      <c r="L16">
        <f t="shared" si="6"/>
        <v>19.5</v>
      </c>
      <c r="N16" s="191" t="s">
        <v>100</v>
      </c>
      <c r="O16" s="191" t="s">
        <v>76</v>
      </c>
      <c r="P16" s="191" t="s">
        <v>37</v>
      </c>
      <c r="Q16" s="191" t="s">
        <v>78</v>
      </c>
      <c r="R16" s="191" t="s">
        <v>68</v>
      </c>
      <c r="S16" s="191" t="s">
        <v>101</v>
      </c>
      <c r="T16" s="191" t="s">
        <v>102</v>
      </c>
    </row>
    <row r="17" spans="1:20" x14ac:dyDescent="0.25">
      <c r="A17" s="219">
        <f t="shared" si="0"/>
        <v>14</v>
      </c>
      <c r="B17" s="75">
        <v>3</v>
      </c>
      <c r="C17" s="222">
        <v>9</v>
      </c>
      <c r="D17" s="222">
        <v>13</v>
      </c>
      <c r="E17" s="26">
        <v>16</v>
      </c>
      <c r="G17">
        <f t="shared" si="1"/>
        <v>12</v>
      </c>
      <c r="H17" s="76">
        <f t="shared" si="2"/>
        <v>24</v>
      </c>
      <c r="I17" s="7">
        <f t="shared" si="3"/>
        <v>26</v>
      </c>
      <c r="J17" s="7">
        <f t="shared" si="4"/>
        <v>21</v>
      </c>
      <c r="K17" s="35">
        <f t="shared" si="5"/>
        <v>23</v>
      </c>
      <c r="L17">
        <f t="shared" si="6"/>
        <v>23.5</v>
      </c>
      <c r="N17" t="s">
        <v>47</v>
      </c>
      <c r="O17">
        <f>O6</f>
        <v>833.25000000000023</v>
      </c>
      <c r="P17" t="e">
        <f ca="1">P6*H25</f>
        <v>#NAME?</v>
      </c>
      <c r="Q17" t="e">
        <f ca="1">O17/P17</f>
        <v>#NAME?</v>
      </c>
      <c r="R17" t="e">
        <f ca="1">Q17/Q18</f>
        <v>#NAME?</v>
      </c>
      <c r="S17" t="e">
        <f ca="1">FDIST(R17,P17,P18)</f>
        <v>#NAME?</v>
      </c>
      <c r="T17" t="e">
        <f ca="1">FINV(S15,P17,P18)</f>
        <v>#NAME?</v>
      </c>
    </row>
    <row r="18" spans="1:20" x14ac:dyDescent="0.25">
      <c r="A18" s="219">
        <f t="shared" si="0"/>
        <v>15</v>
      </c>
      <c r="B18" s="66">
        <v>2</v>
      </c>
      <c r="C18" s="67">
        <v>8</v>
      </c>
      <c r="D18" s="67">
        <v>6</v>
      </c>
      <c r="E18" s="28">
        <v>10</v>
      </c>
      <c r="G18">
        <f t="shared" si="1"/>
        <v>13</v>
      </c>
      <c r="H18" s="76">
        <f t="shared" si="2"/>
        <v>9</v>
      </c>
      <c r="I18" s="7">
        <f t="shared" si="3"/>
        <v>12</v>
      </c>
      <c r="J18" s="7">
        <f t="shared" si="4"/>
        <v>20</v>
      </c>
      <c r="K18" s="35">
        <f t="shared" si="5"/>
        <v>23</v>
      </c>
      <c r="L18">
        <f t="shared" si="6"/>
        <v>16</v>
      </c>
      <c r="N18" t="s">
        <v>122</v>
      </c>
      <c r="O18">
        <f>O7</f>
        <v>400.49999999999977</v>
      </c>
      <c r="P18" t="e">
        <f ca="1">P7*H25</f>
        <v>#NAME?</v>
      </c>
      <c r="Q18" t="e">
        <f ca="1">O18/P18</f>
        <v>#NAME?</v>
      </c>
    </row>
    <row r="19" spans="1:20" x14ac:dyDescent="0.25">
      <c r="G19">
        <f t="shared" si="1"/>
        <v>14</v>
      </c>
      <c r="H19" s="76">
        <f t="shared" si="2"/>
        <v>3</v>
      </c>
      <c r="I19" s="7">
        <f t="shared" si="3"/>
        <v>9</v>
      </c>
      <c r="J19" s="7">
        <f t="shared" si="4"/>
        <v>13</v>
      </c>
      <c r="K19" s="35">
        <f t="shared" si="5"/>
        <v>16</v>
      </c>
      <c r="L19">
        <f t="shared" si="6"/>
        <v>10.25</v>
      </c>
      <c r="N19" s="205"/>
      <c r="O19" s="205"/>
      <c r="P19" s="205"/>
      <c r="Q19" s="205"/>
      <c r="R19" s="205"/>
      <c r="S19" s="205"/>
      <c r="T19" s="205"/>
    </row>
    <row r="20" spans="1:20" x14ac:dyDescent="0.25">
      <c r="G20">
        <f t="shared" si="1"/>
        <v>15</v>
      </c>
      <c r="H20" s="182">
        <f t="shared" si="2"/>
        <v>2</v>
      </c>
      <c r="I20" s="183">
        <f t="shared" si="3"/>
        <v>8</v>
      </c>
      <c r="J20" s="183">
        <f t="shared" si="4"/>
        <v>6</v>
      </c>
      <c r="K20" s="184">
        <f t="shared" si="5"/>
        <v>10</v>
      </c>
      <c r="L20">
        <f t="shared" si="6"/>
        <v>6.5</v>
      </c>
    </row>
    <row r="21" spans="1:20" x14ac:dyDescent="0.25">
      <c r="G21" t="s">
        <v>8</v>
      </c>
      <c r="H21">
        <f>AVERAGE(H6:H20)</f>
        <v>12.533333333333333</v>
      </c>
      <c r="I21">
        <f>AVERAGE(I6:I20)</f>
        <v>18.333333333333332</v>
      </c>
      <c r="J21">
        <f>AVERAGE(J6:J20)</f>
        <v>19.933333333333334</v>
      </c>
      <c r="K21">
        <f>AVERAGE(K6:K20)</f>
        <v>22.733333333333334</v>
      </c>
      <c r="L21">
        <f>AVERAGE(L6:L20)</f>
        <v>18.383333333333333</v>
      </c>
    </row>
    <row r="22" spans="1:20" x14ac:dyDescent="0.25">
      <c r="G22" t="s">
        <v>48</v>
      </c>
      <c r="H22">
        <f>VAR(H6:H20)</f>
        <v>55.838095238095221</v>
      </c>
      <c r="I22">
        <f>VAR(I6:I20)</f>
        <v>35.523809523809504</v>
      </c>
      <c r="J22">
        <f>VAR(J6:J20)</f>
        <v>41.352380952380955</v>
      </c>
      <c r="K22">
        <f>VAR(K6:K20)</f>
        <v>34.352380952380955</v>
      </c>
      <c r="L22">
        <f>VAR(L6:L20)</f>
        <v>34.614880952380972</v>
      </c>
    </row>
    <row r="24" spans="1:20" x14ac:dyDescent="0.25">
      <c r="G24" t="s">
        <v>560</v>
      </c>
      <c r="H24" s="216" t="e">
        <f ca="1">GGEpsilon(H6:K20)</f>
        <v>#NAME?</v>
      </c>
    </row>
    <row r="25" spans="1:20" x14ac:dyDescent="0.25">
      <c r="G25" t="s">
        <v>561</v>
      </c>
      <c r="H25" s="180" t="e">
        <f ca="1">HFEpsilon(H6:K20)</f>
        <v>#NAME?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1"/>
  <dimension ref="A1:L25"/>
  <sheetViews>
    <sheetView workbookViewId="0"/>
  </sheetViews>
  <sheetFormatPr defaultRowHeight="15" x14ac:dyDescent="0.25"/>
  <cols>
    <col min="9" max="9" width="25" customWidth="1"/>
    <col min="11" max="11" width="10.42578125" customWidth="1"/>
  </cols>
  <sheetData>
    <row r="1" spans="1:12" x14ac:dyDescent="0.25">
      <c r="A1" s="1" t="s">
        <v>211</v>
      </c>
      <c r="K1" t="s">
        <v>554</v>
      </c>
    </row>
    <row r="3" spans="1:12" x14ac:dyDescent="0.25">
      <c r="A3" t="s">
        <v>164</v>
      </c>
      <c r="K3" t="s">
        <v>559</v>
      </c>
      <c r="L3" s="148" t="e">
        <f t="array" aca="1" ref="L3" ca="1">GGEpsilon('ANOVA Match 1.3'!B4:E18)</f>
        <v>#NAME?</v>
      </c>
    </row>
    <row r="5" spans="1:12" x14ac:dyDescent="0.25">
      <c r="A5" s="102" t="e">
        <f t="array" aca="1" ref="A5:D8" ca="1">COV('ANOVA Match 1.3'!B4:E18)</f>
        <v>#NAME?</v>
      </c>
      <c r="B5" s="103" t="e">
        <f ca="1"/>
        <v>#NAME?</v>
      </c>
      <c r="C5" s="103" t="e">
        <f ca="1"/>
        <v>#NAME?</v>
      </c>
      <c r="D5" s="104" t="e">
        <f ca="1"/>
        <v>#NAME?</v>
      </c>
      <c r="E5" t="e">
        <f ca="1">AVERAGE(A5:D5)</f>
        <v>#NAME?</v>
      </c>
    </row>
    <row r="6" spans="1:12" x14ac:dyDescent="0.25">
      <c r="A6" s="107" t="e">
        <f ca="1"/>
        <v>#NAME?</v>
      </c>
      <c r="B6" s="7" t="e">
        <f ca="1"/>
        <v>#NAME?</v>
      </c>
      <c r="C6" s="7" t="e">
        <f ca="1"/>
        <v>#NAME?</v>
      </c>
      <c r="D6" s="108" t="e">
        <f ca="1"/>
        <v>#NAME?</v>
      </c>
      <c r="E6" t="e">
        <f ca="1">AVERAGE(A6:D6)</f>
        <v>#NAME?</v>
      </c>
    </row>
    <row r="7" spans="1:12" x14ac:dyDescent="0.25">
      <c r="A7" s="107" t="e">
        <f ca="1"/>
        <v>#NAME?</v>
      </c>
      <c r="B7" s="7" t="e">
        <f ca="1"/>
        <v>#NAME?</v>
      </c>
      <c r="C7" s="7" t="e">
        <f ca="1"/>
        <v>#NAME?</v>
      </c>
      <c r="D7" s="108" t="e">
        <f ca="1"/>
        <v>#NAME?</v>
      </c>
      <c r="E7" t="e">
        <f ca="1">AVERAGE(A7:D7)</f>
        <v>#NAME?</v>
      </c>
    </row>
    <row r="8" spans="1:12" x14ac:dyDescent="0.25">
      <c r="A8" s="52" t="e">
        <f ca="1"/>
        <v>#NAME?</v>
      </c>
      <c r="B8" s="53" t="e">
        <f ca="1"/>
        <v>#NAME?</v>
      </c>
      <c r="C8" s="53" t="e">
        <f ca="1"/>
        <v>#NAME?</v>
      </c>
      <c r="D8" s="56" t="e">
        <f ca="1"/>
        <v>#NAME?</v>
      </c>
      <c r="E8" t="e">
        <f ca="1">AVERAGE(A8:D8)</f>
        <v>#NAME?</v>
      </c>
    </row>
    <row r="9" spans="1:12" x14ac:dyDescent="0.25">
      <c r="A9" t="e">
        <f ca="1">AVERAGE(A5:A8)</f>
        <v>#NAME?</v>
      </c>
      <c r="B9" t="e">
        <f ca="1">AVERAGE(B5:B8)</f>
        <v>#NAME?</v>
      </c>
      <c r="C9" t="e">
        <f ca="1">AVERAGE(C5:C8)</f>
        <v>#NAME?</v>
      </c>
      <c r="D9" t="e">
        <f ca="1">AVERAGE(D5:D8)</f>
        <v>#NAME?</v>
      </c>
      <c r="E9" t="e">
        <f ca="1">AVERAGE(E5:E8)</f>
        <v>#NAME?</v>
      </c>
    </row>
    <row r="11" spans="1:12" x14ac:dyDescent="0.25">
      <c r="A11" t="s">
        <v>212</v>
      </c>
    </row>
    <row r="13" spans="1:12" x14ac:dyDescent="0.25">
      <c r="A13">
        <v>1</v>
      </c>
      <c r="B13">
        <f>A13+1</f>
        <v>2</v>
      </c>
      <c r="C13">
        <f>B13+1</f>
        <v>3</v>
      </c>
      <c r="D13">
        <f>C13+1</f>
        <v>4</v>
      </c>
    </row>
    <row r="14" spans="1:12" x14ac:dyDescent="0.25">
      <c r="A14" s="102" t="e">
        <f ca="1">A5-$E5-A$9+$E$9</f>
        <v>#NAME?</v>
      </c>
      <c r="B14" s="103" t="e">
        <f t="shared" ref="B14:D15" ca="1" si="0">B5-$E5-B$9+$E$9</f>
        <v>#NAME?</v>
      </c>
      <c r="C14" s="103" t="e">
        <f t="shared" ca="1" si="0"/>
        <v>#NAME?</v>
      </c>
      <c r="D14" s="104" t="e">
        <f t="shared" ca="1" si="0"/>
        <v>#NAME?</v>
      </c>
      <c r="F14" t="s">
        <v>34</v>
      </c>
      <c r="G14" s="105">
        <f>D13</f>
        <v>4</v>
      </c>
      <c r="I14" s="14" t="s">
        <v>213</v>
      </c>
    </row>
    <row r="15" spans="1:12" x14ac:dyDescent="0.25">
      <c r="A15" s="107" t="e">
        <f ca="1">A6-$E6-A$9+$E$9</f>
        <v>#NAME?</v>
      </c>
      <c r="B15" s="7" t="e">
        <f t="shared" ca="1" si="0"/>
        <v>#NAME?</v>
      </c>
      <c r="C15" s="7" t="e">
        <f t="shared" ca="1" si="0"/>
        <v>#NAME?</v>
      </c>
      <c r="D15" s="108" t="e">
        <f t="shared" ca="1" si="0"/>
        <v>#NAME?</v>
      </c>
      <c r="F15" t="s">
        <v>214</v>
      </c>
      <c r="G15" s="78" t="e">
        <f ca="1">SUM(A18:D18)^2</f>
        <v>#NAME?</v>
      </c>
      <c r="I15" s="14" t="s">
        <v>215</v>
      </c>
    </row>
    <row r="16" spans="1:12" x14ac:dyDescent="0.25">
      <c r="A16" s="107" t="e">
        <f t="shared" ref="A16:D17" ca="1" si="1">A7-$E7-A$9+$E$9</f>
        <v>#NAME?</v>
      </c>
      <c r="B16" s="7" t="e">
        <f t="shared" ca="1" si="1"/>
        <v>#NAME?</v>
      </c>
      <c r="C16" s="7" t="e">
        <f t="shared" ca="1" si="1"/>
        <v>#NAME?</v>
      </c>
      <c r="D16" s="108" t="e">
        <f t="shared" ca="1" si="1"/>
        <v>#NAME?</v>
      </c>
      <c r="F16" t="s">
        <v>216</v>
      </c>
      <c r="G16" s="78" t="e">
        <f ca="1">(G14-1)*SUMSQ(A14:D17)</f>
        <v>#NAME?</v>
      </c>
      <c r="I16" s="14" t="s">
        <v>217</v>
      </c>
    </row>
    <row r="17" spans="1:9" x14ac:dyDescent="0.25">
      <c r="A17" s="52" t="e">
        <f t="shared" ca="1" si="1"/>
        <v>#NAME?</v>
      </c>
      <c r="B17" s="53" t="e">
        <f t="shared" ca="1" si="1"/>
        <v>#NAME?</v>
      </c>
      <c r="C17" s="53" t="e">
        <f t="shared" ca="1" si="1"/>
        <v>#NAME?</v>
      </c>
      <c r="D17" s="56" t="e">
        <f t="shared" ca="1" si="1"/>
        <v>#NAME?</v>
      </c>
      <c r="F17" t="s">
        <v>218</v>
      </c>
      <c r="G17" s="58" t="e">
        <f ca="1">G15/G16</f>
        <v>#NAME?</v>
      </c>
      <c r="I17" s="14" t="s">
        <v>219</v>
      </c>
    </row>
    <row r="18" spans="1:9" x14ac:dyDescent="0.25">
      <c r="A18" s="23" t="e">
        <f ca="1">INDEX(A14:A17,A13)</f>
        <v>#NAME?</v>
      </c>
      <c r="B18" s="23" t="e">
        <f ca="1">INDEX(B14:B17,B13)</f>
        <v>#NAME?</v>
      </c>
      <c r="C18" s="23" t="e">
        <f ca="1">INDEX(C14:C17,C13)</f>
        <v>#NAME?</v>
      </c>
      <c r="D18" s="23" t="e">
        <f ca="1">INDEX(D14:D17,D13)</f>
        <v>#NAME?</v>
      </c>
      <c r="E18" t="s">
        <v>220</v>
      </c>
    </row>
    <row r="20" spans="1:9" x14ac:dyDescent="0.25">
      <c r="A20" t="s">
        <v>221</v>
      </c>
    </row>
    <row r="22" spans="1:9" x14ac:dyDescent="0.25">
      <c r="A22" s="109" t="e">
        <f t="array" aca="1" ref="A22:C22" ca="1">eVALUES(A14:D17)</f>
        <v>#NAME?</v>
      </c>
      <c r="B22" s="110" t="e">
        <f ca="1"/>
        <v>#NAME?</v>
      </c>
      <c r="C22" s="111" t="e">
        <f ca="1"/>
        <v>#NAME?</v>
      </c>
      <c r="F22" t="s">
        <v>34</v>
      </c>
      <c r="G22" s="105">
        <f>D13</f>
        <v>4</v>
      </c>
      <c r="I22" s="14" t="s">
        <v>213</v>
      </c>
    </row>
    <row r="23" spans="1:9" x14ac:dyDescent="0.25">
      <c r="F23" t="s">
        <v>214</v>
      </c>
      <c r="G23" s="78" t="e">
        <f ca="1">SUM(A22:C22)^2</f>
        <v>#NAME?</v>
      </c>
      <c r="I23" s="14" t="s">
        <v>222</v>
      </c>
    </row>
    <row r="24" spans="1:9" x14ac:dyDescent="0.25">
      <c r="F24" t="s">
        <v>216</v>
      </c>
      <c r="G24" s="78" t="e">
        <f ca="1">(G22-1)*SUMSQ(A22:C22)</f>
        <v>#NAME?</v>
      </c>
      <c r="I24" s="14" t="s">
        <v>223</v>
      </c>
    </row>
    <row r="25" spans="1:9" x14ac:dyDescent="0.25">
      <c r="F25" t="s">
        <v>218</v>
      </c>
      <c r="G25" s="58" t="e">
        <f ca="1">G23/G24</f>
        <v>#NAME?</v>
      </c>
      <c r="I25" s="14" t="s">
        <v>224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2"/>
  <dimension ref="A1:D24"/>
  <sheetViews>
    <sheetView workbookViewId="0"/>
  </sheetViews>
  <sheetFormatPr defaultRowHeight="15" x14ac:dyDescent="0.25"/>
  <cols>
    <col min="1" max="1" width="12" customWidth="1"/>
    <col min="4" max="4" width="9.140625" customWidth="1"/>
  </cols>
  <sheetData>
    <row r="1" spans="1:4" x14ac:dyDescent="0.25">
      <c r="A1" s="1" t="s">
        <v>225</v>
      </c>
    </row>
    <row r="3" spans="1:4" x14ac:dyDescent="0.25">
      <c r="A3" t="s">
        <v>226</v>
      </c>
      <c r="B3" s="109" t="e">
        <f t="array" aca="1" ref="B3:D3" ca="1">eVALUES('ANOVA Match 1.4'!A14:D17)</f>
        <v>#NAME?</v>
      </c>
      <c r="C3" s="110" t="e">
        <f ca="1"/>
        <v>#NAME?</v>
      </c>
      <c r="D3" s="111" t="e">
        <f ca="1"/>
        <v>#NAME?</v>
      </c>
    </row>
    <row r="5" spans="1:4" x14ac:dyDescent="0.25">
      <c r="A5" t="s">
        <v>34</v>
      </c>
      <c r="B5" s="105">
        <f>'ANOVA Match 1.3'!H26</f>
        <v>4</v>
      </c>
    </row>
    <row r="6" spans="1:4" x14ac:dyDescent="0.25">
      <c r="A6" t="s">
        <v>16</v>
      </c>
      <c r="B6" s="78">
        <f>'ANOVA Match 1.3'!H25</f>
        <v>15</v>
      </c>
    </row>
    <row r="7" spans="1:4" x14ac:dyDescent="0.25">
      <c r="A7" t="s">
        <v>227</v>
      </c>
      <c r="B7" s="78" t="e">
        <f ca="1">PRODUCT(B3:D3)/(SUM(B3:D3)/(B5-1))^(B5-1)</f>
        <v>#NAME?</v>
      </c>
    </row>
    <row r="8" spans="1:4" x14ac:dyDescent="0.25">
      <c r="A8" t="s">
        <v>5</v>
      </c>
      <c r="B8" s="78">
        <f>(2*(B5-1)^2+B5+1)/(6*(B5-1)*(B6-1))</f>
        <v>9.1269841269841265E-2</v>
      </c>
    </row>
    <row r="9" spans="1:4" x14ac:dyDescent="0.25">
      <c r="A9" t="s">
        <v>228</v>
      </c>
      <c r="B9" s="78" t="e">
        <f ca="1">(B8-1)*(B6-1)*LN(B7)</f>
        <v>#NAME?</v>
      </c>
    </row>
    <row r="10" spans="1:4" x14ac:dyDescent="0.25">
      <c r="A10" t="s">
        <v>37</v>
      </c>
      <c r="B10" s="78">
        <f>B5*(B5-1)/2-1</f>
        <v>5</v>
      </c>
    </row>
    <row r="11" spans="1:4" x14ac:dyDescent="0.25">
      <c r="A11" t="s">
        <v>43</v>
      </c>
      <c r="B11" s="78" t="e">
        <f ca="1">CHIDIST(B9,B10)</f>
        <v>#NAME?</v>
      </c>
      <c r="D11" s="148" t="e">
        <f ca="1">MauchlyTest('ANOVA Match 1.3'!B4:E18)</f>
        <v>#NAME?</v>
      </c>
    </row>
    <row r="12" spans="1:4" x14ac:dyDescent="0.25">
      <c r="A12" t="s">
        <v>58</v>
      </c>
      <c r="B12" s="78">
        <v>0.05</v>
      </c>
    </row>
    <row r="13" spans="1:4" x14ac:dyDescent="0.25">
      <c r="A13" t="s">
        <v>111</v>
      </c>
      <c r="B13" s="55" t="e">
        <f ca="1">IF(B11&lt;B12,"yes","no")</f>
        <v>#NAME?</v>
      </c>
    </row>
    <row r="15" spans="1:4" x14ac:dyDescent="0.25">
      <c r="A15" s="1" t="s">
        <v>229</v>
      </c>
    </row>
    <row r="17" spans="1:4" x14ac:dyDescent="0.25">
      <c r="A17" t="s">
        <v>34</v>
      </c>
      <c r="B17" s="105">
        <f>B5</f>
        <v>4</v>
      </c>
    </row>
    <row r="18" spans="1:4" x14ac:dyDescent="0.25">
      <c r="A18" t="s">
        <v>16</v>
      </c>
      <c r="B18" s="78">
        <f>B6</f>
        <v>15</v>
      </c>
    </row>
    <row r="19" spans="1:4" x14ac:dyDescent="0.25">
      <c r="A19" t="s">
        <v>230</v>
      </c>
      <c r="B19" s="78" t="e">
        <f ca="1">'ANOVA Match 1.4'!G25*(B17-1)</f>
        <v>#NAME?</v>
      </c>
    </row>
    <row r="20" spans="1:4" x14ac:dyDescent="0.25">
      <c r="A20" t="s">
        <v>228</v>
      </c>
      <c r="B20" s="78" t="e">
        <f ca="1">0.5*B18*(B17-1)^2*(B19-1/(B17-1))</f>
        <v>#NAME?</v>
      </c>
    </row>
    <row r="21" spans="1:4" x14ac:dyDescent="0.25">
      <c r="A21" t="s">
        <v>37</v>
      </c>
      <c r="B21" s="78">
        <f>B17*(B17-1)/2-1</f>
        <v>5</v>
      </c>
    </row>
    <row r="22" spans="1:4" x14ac:dyDescent="0.25">
      <c r="A22" t="s">
        <v>43</v>
      </c>
      <c r="B22" s="78" t="e">
        <f ca="1">CHIDIST(B20,B21)</f>
        <v>#NAME?</v>
      </c>
      <c r="D22" s="148" t="e">
        <f ca="1">JNSTest('ANOVA Match 1.3'!B4:E18)</f>
        <v>#NAME?</v>
      </c>
    </row>
    <row r="23" spans="1:4" x14ac:dyDescent="0.25">
      <c r="A23" t="s">
        <v>58</v>
      </c>
      <c r="B23" s="78">
        <v>0.05</v>
      </c>
    </row>
    <row r="24" spans="1:4" x14ac:dyDescent="0.25">
      <c r="A24" t="s">
        <v>111</v>
      </c>
      <c r="B24" s="55" t="e">
        <f ca="1">IF(B22&lt;B23,"yes","no")</f>
        <v>#NAME?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U63"/>
  <sheetViews>
    <sheetView workbookViewId="0">
      <selection activeCell="M2" sqref="M2"/>
    </sheetView>
  </sheetViews>
  <sheetFormatPr defaultRowHeight="15" x14ac:dyDescent="0.25"/>
  <cols>
    <col min="14" max="14" width="17.42578125" customWidth="1"/>
  </cols>
  <sheetData>
    <row r="1" spans="1:20" x14ac:dyDescent="0.25">
      <c r="A1" s="1" t="s">
        <v>648</v>
      </c>
    </row>
    <row r="3" spans="1:20" x14ac:dyDescent="0.25">
      <c r="A3" s="278" t="s">
        <v>35</v>
      </c>
      <c r="B3" s="278" t="s">
        <v>52</v>
      </c>
      <c r="C3" s="278" t="s">
        <v>165</v>
      </c>
      <c r="D3" s="278" t="s">
        <v>166</v>
      </c>
      <c r="E3" s="278" t="s">
        <v>167</v>
      </c>
      <c r="H3" s="278" t="s">
        <v>118</v>
      </c>
      <c r="I3" s="278" t="s">
        <v>119</v>
      </c>
      <c r="J3" s="278" t="s">
        <v>134</v>
      </c>
      <c r="K3" s="12" t="s">
        <v>4</v>
      </c>
      <c r="L3" s="12" t="s">
        <v>71</v>
      </c>
      <c r="N3" t="s">
        <v>495</v>
      </c>
    </row>
    <row r="4" spans="1:20" x14ac:dyDescent="0.25">
      <c r="A4" s="278">
        <v>1</v>
      </c>
      <c r="B4" s="73">
        <v>16</v>
      </c>
      <c r="C4" s="74">
        <v>22</v>
      </c>
      <c r="D4" s="74">
        <v>23</v>
      </c>
      <c r="E4" s="77">
        <v>25</v>
      </c>
      <c r="F4">
        <f>SUM(B4:E4)</f>
        <v>86</v>
      </c>
      <c r="H4" s="282">
        <v>1</v>
      </c>
      <c r="I4" s="275">
        <v>0</v>
      </c>
      <c r="J4" s="275">
        <v>0</v>
      </c>
      <c r="K4" s="192">
        <f>F4</f>
        <v>86</v>
      </c>
      <c r="L4" s="281">
        <f>B4</f>
        <v>16</v>
      </c>
    </row>
    <row r="5" spans="1:20" ht="15.75" thickBot="1" x14ac:dyDescent="0.3">
      <c r="A5" s="278">
        <f>A4+1</f>
        <v>2</v>
      </c>
      <c r="B5" s="75">
        <v>12</v>
      </c>
      <c r="C5" s="279">
        <v>18</v>
      </c>
      <c r="D5" s="279">
        <v>24</v>
      </c>
      <c r="E5" s="26">
        <v>29</v>
      </c>
      <c r="F5">
        <f t="shared" ref="F5:F18" si="0">SUM(B5:E5)</f>
        <v>83</v>
      </c>
      <c r="H5" s="39">
        <v>1</v>
      </c>
      <c r="I5" s="38">
        <v>0</v>
      </c>
      <c r="J5" s="38">
        <v>0</v>
      </c>
      <c r="K5" s="7">
        <f t="shared" ref="K5:K18" si="1">F5</f>
        <v>83</v>
      </c>
      <c r="L5" s="108">
        <f t="shared" ref="L5:L18" si="2">B5</f>
        <v>12</v>
      </c>
      <c r="N5" s="179" t="s">
        <v>496</v>
      </c>
      <c r="O5" s="179"/>
      <c r="Q5" s="179"/>
      <c r="R5" s="179"/>
    </row>
    <row r="6" spans="1:20" ht="15.75" thickTop="1" x14ac:dyDescent="0.25">
      <c r="A6" s="278">
        <f t="shared" ref="A6:A18" si="3">A5+1</f>
        <v>3</v>
      </c>
      <c r="B6" s="75">
        <v>23</v>
      </c>
      <c r="C6" s="279">
        <v>24</v>
      </c>
      <c r="D6" s="279">
        <v>26</v>
      </c>
      <c r="E6" s="26">
        <v>27</v>
      </c>
      <c r="F6">
        <f t="shared" si="0"/>
        <v>100</v>
      </c>
      <c r="H6" s="39">
        <v>1</v>
      </c>
      <c r="I6" s="38">
        <v>0</v>
      </c>
      <c r="J6" s="38">
        <v>0</v>
      </c>
      <c r="K6" s="7">
        <f t="shared" si="1"/>
        <v>100</v>
      </c>
      <c r="L6" s="108">
        <f t="shared" si="2"/>
        <v>23</v>
      </c>
      <c r="N6" t="s">
        <v>82</v>
      </c>
      <c r="O6" t="e">
        <f ca="1">SQRT(O7)</f>
        <v>#NAME?</v>
      </c>
      <c r="Q6" t="s">
        <v>142</v>
      </c>
      <c r="R6" t="e">
        <f ca="1">O10*LN(P15/O10)+2*(O14+1)</f>
        <v>#NAME?</v>
      </c>
    </row>
    <row r="7" spans="1:20" x14ac:dyDescent="0.25">
      <c r="A7" s="278">
        <f t="shared" si="3"/>
        <v>4</v>
      </c>
      <c r="B7" s="75">
        <v>8</v>
      </c>
      <c r="C7" s="279">
        <v>20</v>
      </c>
      <c r="D7" s="279">
        <v>28</v>
      </c>
      <c r="E7" s="26">
        <v>30</v>
      </c>
      <c r="F7">
        <f t="shared" si="0"/>
        <v>86</v>
      </c>
      <c r="H7" s="39">
        <v>1</v>
      </c>
      <c r="I7" s="38">
        <v>0</v>
      </c>
      <c r="J7" s="38">
        <v>0</v>
      </c>
      <c r="K7" s="7">
        <f t="shared" si="1"/>
        <v>86</v>
      </c>
      <c r="L7" s="108">
        <f t="shared" si="2"/>
        <v>8</v>
      </c>
      <c r="N7" t="s">
        <v>80</v>
      </c>
      <c r="O7" t="e">
        <f ca="1">P14/P16</f>
        <v>#NAME?</v>
      </c>
      <c r="Q7" t="s">
        <v>143</v>
      </c>
      <c r="R7" t="e">
        <f ca="1">R6+2*(O14+2)*(O14+3)/(O10-O14-3)</f>
        <v>#NAME?</v>
      </c>
    </row>
    <row r="8" spans="1:20" x14ac:dyDescent="0.25">
      <c r="A8" s="278">
        <f t="shared" si="3"/>
        <v>5</v>
      </c>
      <c r="B8" s="75">
        <v>3</v>
      </c>
      <c r="C8" s="279">
        <v>12</v>
      </c>
      <c r="D8" s="279">
        <v>13</v>
      </c>
      <c r="E8" s="26">
        <v>17</v>
      </c>
      <c r="F8">
        <f t="shared" si="0"/>
        <v>45</v>
      </c>
      <c r="H8" s="39">
        <v>1</v>
      </c>
      <c r="I8" s="38">
        <v>0</v>
      </c>
      <c r="J8" s="38">
        <v>0</v>
      </c>
      <c r="K8" s="7">
        <f t="shared" si="1"/>
        <v>45</v>
      </c>
      <c r="L8" s="108">
        <f t="shared" si="2"/>
        <v>3</v>
      </c>
      <c r="N8" t="s">
        <v>83</v>
      </c>
      <c r="O8" t="e">
        <f ca="1">1-(1-O7)*(O10-1)/(O10-O14-1)</f>
        <v>#NAME?</v>
      </c>
      <c r="Q8" s="185" t="s">
        <v>647</v>
      </c>
      <c r="R8" s="185" t="e">
        <f ca="1">O10*LN(P15/O10)+(O14+1)*LN(O10)</f>
        <v>#NAME?</v>
      </c>
    </row>
    <row r="9" spans="1:20" x14ac:dyDescent="0.25">
      <c r="A9" s="278">
        <f t="shared" si="3"/>
        <v>6</v>
      </c>
      <c r="B9" s="75">
        <v>5</v>
      </c>
      <c r="C9" s="279">
        <v>13</v>
      </c>
      <c r="D9" s="279">
        <v>11</v>
      </c>
      <c r="E9" s="26">
        <v>15</v>
      </c>
      <c r="F9">
        <f t="shared" si="0"/>
        <v>44</v>
      </c>
      <c r="H9" s="39">
        <v>1</v>
      </c>
      <c r="I9" s="38">
        <v>0</v>
      </c>
      <c r="J9" s="38">
        <v>0</v>
      </c>
      <c r="K9" s="7">
        <f t="shared" si="1"/>
        <v>44</v>
      </c>
      <c r="L9" s="108">
        <f t="shared" si="2"/>
        <v>5</v>
      </c>
      <c r="N9" t="s">
        <v>9</v>
      </c>
      <c r="O9" t="e">
        <f ca="1">SQRT(Q15)</f>
        <v>#NAME?</v>
      </c>
    </row>
    <row r="10" spans="1:20" x14ac:dyDescent="0.25">
      <c r="A10" s="278">
        <f t="shared" si="3"/>
        <v>7</v>
      </c>
      <c r="B10" s="75">
        <v>19</v>
      </c>
      <c r="C10" s="279">
        <v>22</v>
      </c>
      <c r="D10" s="279">
        <v>25</v>
      </c>
      <c r="E10" s="26">
        <v>26</v>
      </c>
      <c r="F10">
        <f t="shared" si="0"/>
        <v>92</v>
      </c>
      <c r="H10" s="39">
        <v>1</v>
      </c>
      <c r="I10" s="38">
        <v>0</v>
      </c>
      <c r="J10" s="38">
        <v>0</v>
      </c>
      <c r="K10" s="7">
        <f t="shared" si="1"/>
        <v>92</v>
      </c>
      <c r="L10" s="108">
        <f t="shared" si="2"/>
        <v>19</v>
      </c>
      <c r="N10" s="185" t="s">
        <v>49</v>
      </c>
      <c r="O10" s="185">
        <f>COUNT(L4:L63)</f>
        <v>60</v>
      </c>
    </row>
    <row r="11" spans="1:20" x14ac:dyDescent="0.25">
      <c r="A11" s="278">
        <f t="shared" si="3"/>
        <v>8</v>
      </c>
      <c r="B11" s="75">
        <v>22</v>
      </c>
      <c r="C11" s="279">
        <v>22</v>
      </c>
      <c r="D11" s="279">
        <v>23</v>
      </c>
      <c r="E11" s="26">
        <v>26</v>
      </c>
      <c r="F11">
        <f t="shared" si="0"/>
        <v>93</v>
      </c>
      <c r="H11" s="39">
        <v>1</v>
      </c>
      <c r="I11" s="38">
        <v>0</v>
      </c>
      <c r="J11" s="38">
        <v>0</v>
      </c>
      <c r="K11" s="7">
        <f t="shared" si="1"/>
        <v>93</v>
      </c>
      <c r="L11" s="108">
        <f t="shared" si="2"/>
        <v>22</v>
      </c>
    </row>
    <row r="12" spans="1:20" ht="15.75" thickBot="1" x14ac:dyDescent="0.3">
      <c r="A12" s="278">
        <f t="shared" si="3"/>
        <v>9</v>
      </c>
      <c r="B12" s="75">
        <v>12</v>
      </c>
      <c r="C12" s="279">
        <v>20</v>
      </c>
      <c r="D12" s="279">
        <v>22</v>
      </c>
      <c r="E12" s="26">
        <v>24</v>
      </c>
      <c r="F12">
        <f t="shared" si="0"/>
        <v>78</v>
      </c>
      <c r="H12" s="39">
        <v>1</v>
      </c>
      <c r="I12" s="38">
        <v>0</v>
      </c>
      <c r="J12" s="38">
        <v>0</v>
      </c>
      <c r="K12" s="7">
        <f t="shared" si="1"/>
        <v>78</v>
      </c>
      <c r="L12" s="108">
        <f t="shared" si="2"/>
        <v>12</v>
      </c>
      <c r="N12" t="s">
        <v>84</v>
      </c>
      <c r="R12" s="278" t="s">
        <v>17</v>
      </c>
      <c r="S12" s="278">
        <v>0.05</v>
      </c>
    </row>
    <row r="13" spans="1:20" ht="15.75" thickTop="1" x14ac:dyDescent="0.25">
      <c r="A13" s="278">
        <f t="shared" si="3"/>
        <v>10</v>
      </c>
      <c r="B13" s="75">
        <v>16</v>
      </c>
      <c r="C13" s="279">
        <v>22</v>
      </c>
      <c r="D13" s="279">
        <v>26</v>
      </c>
      <c r="E13" s="26">
        <v>29</v>
      </c>
      <c r="F13">
        <f t="shared" si="0"/>
        <v>93</v>
      </c>
      <c r="H13" s="39">
        <v>1</v>
      </c>
      <c r="I13" s="38">
        <v>0</v>
      </c>
      <c r="J13" s="38">
        <v>0</v>
      </c>
      <c r="K13" s="7">
        <f t="shared" si="1"/>
        <v>93</v>
      </c>
      <c r="L13" s="108">
        <f t="shared" si="2"/>
        <v>16</v>
      </c>
      <c r="N13" s="191"/>
      <c r="O13" s="191" t="s">
        <v>37</v>
      </c>
      <c r="P13" s="191" t="s">
        <v>76</v>
      </c>
      <c r="Q13" s="191" t="s">
        <v>78</v>
      </c>
      <c r="R13" s="191" t="s">
        <v>68</v>
      </c>
      <c r="S13" s="191" t="s">
        <v>43</v>
      </c>
      <c r="T13" s="191" t="s">
        <v>111</v>
      </c>
    </row>
    <row r="14" spans="1:20" x14ac:dyDescent="0.25">
      <c r="A14" s="278">
        <f t="shared" si="3"/>
        <v>11</v>
      </c>
      <c r="B14" s="75">
        <v>14</v>
      </c>
      <c r="C14" s="279">
        <v>25</v>
      </c>
      <c r="D14" s="279">
        <v>18</v>
      </c>
      <c r="E14" s="26">
        <v>21</v>
      </c>
      <c r="F14">
        <f t="shared" si="0"/>
        <v>78</v>
      </c>
      <c r="H14" s="39">
        <v>1</v>
      </c>
      <c r="I14" s="38">
        <v>0</v>
      </c>
      <c r="J14" s="38">
        <v>0</v>
      </c>
      <c r="K14" s="7">
        <f t="shared" si="1"/>
        <v>78</v>
      </c>
      <c r="L14" s="108">
        <f t="shared" si="2"/>
        <v>14</v>
      </c>
      <c r="N14" t="s">
        <v>77</v>
      </c>
      <c r="O14">
        <f>COUNT(H4:K4)</f>
        <v>4</v>
      </c>
      <c r="P14" t="e">
        <f ca="1">DEVSQ(MMULT(DESIGN(H4:K63),O19:O23))</f>
        <v>#NAME?</v>
      </c>
      <c r="Q14" t="e">
        <f ca="1">P14/O14</f>
        <v>#NAME?</v>
      </c>
      <c r="R14" t="e">
        <f ca="1">Q14/Q15</f>
        <v>#NAME?</v>
      </c>
      <c r="S14" t="e">
        <f ca="1">FDIST(R14,O14,O15)</f>
        <v>#NAME?</v>
      </c>
      <c r="T14" s="278" t="e">
        <f ca="1">IF(S14&lt;S12,"yes","no")</f>
        <v>#NAME?</v>
      </c>
    </row>
    <row r="15" spans="1:20" x14ac:dyDescent="0.25">
      <c r="A15" s="278">
        <f t="shared" si="3"/>
        <v>12</v>
      </c>
      <c r="B15" s="75">
        <v>24</v>
      </c>
      <c r="C15" s="279">
        <v>26</v>
      </c>
      <c r="D15" s="279">
        <v>21</v>
      </c>
      <c r="E15" s="26">
        <v>23</v>
      </c>
      <c r="F15">
        <f t="shared" si="0"/>
        <v>94</v>
      </c>
      <c r="H15" s="39">
        <v>1</v>
      </c>
      <c r="I15" s="38">
        <v>0</v>
      </c>
      <c r="J15" s="38">
        <v>0</v>
      </c>
      <c r="K15" s="7">
        <f t="shared" si="1"/>
        <v>94</v>
      </c>
      <c r="L15" s="108">
        <f t="shared" si="2"/>
        <v>24</v>
      </c>
      <c r="N15" t="s">
        <v>85</v>
      </c>
      <c r="O15">
        <f>O16-O14</f>
        <v>55</v>
      </c>
      <c r="P15" t="e">
        <f ca="1">P16-P14</f>
        <v>#NAME?</v>
      </c>
      <c r="Q15" t="e">
        <f ca="1">P15/O15</f>
        <v>#NAME?</v>
      </c>
    </row>
    <row r="16" spans="1:20" x14ac:dyDescent="0.25">
      <c r="A16" s="278">
        <f t="shared" si="3"/>
        <v>13</v>
      </c>
      <c r="B16" s="75">
        <v>9</v>
      </c>
      <c r="C16" s="279">
        <v>12</v>
      </c>
      <c r="D16" s="279">
        <v>20</v>
      </c>
      <c r="E16" s="26">
        <v>23</v>
      </c>
      <c r="F16">
        <f t="shared" si="0"/>
        <v>64</v>
      </c>
      <c r="H16" s="39">
        <v>1</v>
      </c>
      <c r="I16" s="38">
        <v>0</v>
      </c>
      <c r="J16" s="38">
        <v>0</v>
      </c>
      <c r="K16" s="7">
        <f t="shared" si="1"/>
        <v>64</v>
      </c>
      <c r="L16" s="108">
        <f t="shared" si="2"/>
        <v>9</v>
      </c>
      <c r="N16" s="185" t="s">
        <v>1</v>
      </c>
      <c r="O16" s="185">
        <f>O10-1</f>
        <v>59</v>
      </c>
      <c r="P16" s="185">
        <f>DEVSQ(L4:L63)</f>
        <v>3172.1833333333343</v>
      </c>
      <c r="Q16" s="185"/>
      <c r="R16" s="185"/>
      <c r="S16" s="185"/>
      <c r="T16" s="185"/>
    </row>
    <row r="17" spans="1:21" ht="15.75" thickBot="1" x14ac:dyDescent="0.3">
      <c r="A17" s="278">
        <f t="shared" si="3"/>
        <v>14</v>
      </c>
      <c r="B17" s="75">
        <v>3</v>
      </c>
      <c r="C17" s="279">
        <v>9</v>
      </c>
      <c r="D17" s="279">
        <v>13</v>
      </c>
      <c r="E17" s="26">
        <v>16</v>
      </c>
      <c r="F17">
        <f t="shared" si="0"/>
        <v>41</v>
      </c>
      <c r="H17" s="39">
        <v>1</v>
      </c>
      <c r="I17" s="38">
        <v>0</v>
      </c>
      <c r="J17" s="38">
        <v>0</v>
      </c>
      <c r="K17" s="7">
        <f t="shared" si="1"/>
        <v>41</v>
      </c>
      <c r="L17" s="108">
        <f t="shared" si="2"/>
        <v>3</v>
      </c>
    </row>
    <row r="18" spans="1:21" ht="15.75" thickTop="1" x14ac:dyDescent="0.25">
      <c r="A18" s="278">
        <f t="shared" si="3"/>
        <v>15</v>
      </c>
      <c r="B18" s="66">
        <v>2</v>
      </c>
      <c r="C18" s="67">
        <v>8</v>
      </c>
      <c r="D18" s="67">
        <v>6</v>
      </c>
      <c r="E18" s="28">
        <v>10</v>
      </c>
      <c r="F18">
        <f t="shared" si="0"/>
        <v>26</v>
      </c>
      <c r="H18" s="283">
        <v>1</v>
      </c>
      <c r="I18" s="280">
        <v>0</v>
      </c>
      <c r="J18" s="280">
        <v>0</v>
      </c>
      <c r="K18" s="185">
        <f t="shared" si="1"/>
        <v>26</v>
      </c>
      <c r="L18" s="56">
        <f t="shared" si="2"/>
        <v>2</v>
      </c>
      <c r="N18" s="191"/>
      <c r="O18" s="191" t="s">
        <v>494</v>
      </c>
      <c r="P18" s="191" t="s">
        <v>183</v>
      </c>
      <c r="Q18" s="191" t="s">
        <v>38</v>
      </c>
      <c r="R18" s="191" t="s">
        <v>43</v>
      </c>
      <c r="S18" s="191" t="s">
        <v>14</v>
      </c>
      <c r="T18" s="191" t="s">
        <v>15</v>
      </c>
      <c r="U18" s="191" t="s">
        <v>646</v>
      </c>
    </row>
    <row r="19" spans="1:21" x14ac:dyDescent="0.25">
      <c r="H19" s="282">
        <v>0</v>
      </c>
      <c r="I19" s="275">
        <v>1</v>
      </c>
      <c r="J19" s="275">
        <v>0</v>
      </c>
      <c r="K19" s="192">
        <f>F4</f>
        <v>86</v>
      </c>
      <c r="L19" s="281">
        <f>C4</f>
        <v>22</v>
      </c>
      <c r="N19" t="s">
        <v>86</v>
      </c>
      <c r="O19" t="e">
        <f t="array" aca="1" ref="O19:P23" ca="1">RegCoeff(H4:K63,L4:L63)</f>
        <v>#NAME?</v>
      </c>
      <c r="P19" t="e">
        <f ca="1"/>
        <v>#NAME?</v>
      </c>
      <c r="Q19" t="e">
        <f ca="1">O19/P19</f>
        <v>#NAME?</v>
      </c>
      <c r="R19" t="e">
        <f ca="1">TDIST(ABS(Q19),$O$15,2)</f>
        <v>#NAME?</v>
      </c>
      <c r="S19" t="e">
        <f ca="1">O19-TINV(S$12,$O$15)*P19</f>
        <v>#NAME?</v>
      </c>
      <c r="T19" t="e">
        <f ca="1">O19+TINV(S$12,$O$15)*P19</f>
        <v>#NAME?</v>
      </c>
    </row>
    <row r="20" spans="1:21" x14ac:dyDescent="0.25">
      <c r="H20" s="39">
        <v>0</v>
      </c>
      <c r="I20" s="38">
        <v>1</v>
      </c>
      <c r="J20" s="38">
        <v>0</v>
      </c>
      <c r="K20" s="7">
        <f t="shared" ref="K20:K33" si="4">F5</f>
        <v>83</v>
      </c>
      <c r="L20" s="108">
        <f t="shared" ref="L20:L33" si="5">C5</f>
        <v>18</v>
      </c>
      <c r="N20" t="str">
        <f t="array" ref="N20:N23">TRANSPOSE(H3:K3)</f>
        <v>t1</v>
      </c>
      <c r="O20" t="e">
        <f ca="1"/>
        <v>#NAME?</v>
      </c>
      <c r="P20" t="e">
        <f ca="1"/>
        <v>#NAME?</v>
      </c>
      <c r="Q20" t="e">
        <f ca="1">O20/P20</f>
        <v>#NAME?</v>
      </c>
      <c r="R20" t="e">
        <f ca="1">TDIST(ABS(Q20),$O$15,2)</f>
        <v>#NAME?</v>
      </c>
      <c r="S20" t="e">
        <f ca="1">O20-TINV(S$12,$O$15)*P20</f>
        <v>#NAME?</v>
      </c>
      <c r="T20" t="e">
        <f ca="1">O20+TINV(S$12,$O$15)*P20</f>
        <v>#NAME?</v>
      </c>
      <c r="U20" t="e">
        <f ca="1">VIF(H4:K63,1)</f>
        <v>#NAME?</v>
      </c>
    </row>
    <row r="21" spans="1:21" x14ac:dyDescent="0.25">
      <c r="H21" s="39">
        <v>0</v>
      </c>
      <c r="I21" s="38">
        <v>1</v>
      </c>
      <c r="J21" s="38">
        <v>0</v>
      </c>
      <c r="K21" s="7">
        <f t="shared" si="4"/>
        <v>100</v>
      </c>
      <c r="L21" s="108">
        <f t="shared" si="5"/>
        <v>24</v>
      </c>
      <c r="N21" t="str">
        <v>t2</v>
      </c>
      <c r="O21" t="e">
        <f ca="1"/>
        <v>#NAME?</v>
      </c>
      <c r="P21" t="e">
        <f ca="1"/>
        <v>#NAME?</v>
      </c>
      <c r="Q21" t="e">
        <f ca="1">O21/P21</f>
        <v>#NAME?</v>
      </c>
      <c r="R21" t="e">
        <f ca="1">TDIST(ABS(Q21),$O$15,2)</f>
        <v>#NAME?</v>
      </c>
      <c r="S21" t="e">
        <f ca="1">O21-TINV(S$12,$O$15)*P21</f>
        <v>#NAME?</v>
      </c>
      <c r="T21" t="e">
        <f ca="1">O21+TINV(S$12,$O$15)*P21</f>
        <v>#NAME?</v>
      </c>
      <c r="U21" t="e">
        <f ca="1">VIF(H4:K63,2)</f>
        <v>#NAME?</v>
      </c>
    </row>
    <row r="22" spans="1:21" x14ac:dyDescent="0.25">
      <c r="H22" s="39">
        <v>0</v>
      </c>
      <c r="I22" s="38">
        <v>1</v>
      </c>
      <c r="J22" s="38">
        <v>0</v>
      </c>
      <c r="K22" s="7">
        <f t="shared" si="4"/>
        <v>86</v>
      </c>
      <c r="L22" s="108">
        <f t="shared" si="5"/>
        <v>20</v>
      </c>
      <c r="N22" t="str">
        <v>t3</v>
      </c>
      <c r="O22" t="e">
        <f ca="1"/>
        <v>#NAME?</v>
      </c>
      <c r="P22" t="e">
        <f ca="1"/>
        <v>#NAME?</v>
      </c>
      <c r="Q22" t="e">
        <f ca="1">O22/P22</f>
        <v>#NAME?</v>
      </c>
      <c r="R22" t="e">
        <f ca="1">TDIST(ABS(Q22),$O$15,2)</f>
        <v>#NAME?</v>
      </c>
      <c r="S22" t="e">
        <f ca="1">O22-TINV(S$12,$O$15)*P22</f>
        <v>#NAME?</v>
      </c>
      <c r="T22" t="e">
        <f ca="1">O22+TINV(S$12,$O$15)*P22</f>
        <v>#NAME?</v>
      </c>
      <c r="U22" t="e">
        <f ca="1">VIF(H4:K63,3)</f>
        <v>#NAME?</v>
      </c>
    </row>
    <row r="23" spans="1:21" x14ac:dyDescent="0.25">
      <c r="H23" s="39">
        <v>0</v>
      </c>
      <c r="I23" s="38">
        <v>1</v>
      </c>
      <c r="J23" s="38">
        <v>0</v>
      </c>
      <c r="K23" s="7">
        <f t="shared" si="4"/>
        <v>45</v>
      </c>
      <c r="L23" s="108">
        <f t="shared" si="5"/>
        <v>12</v>
      </c>
      <c r="N23" s="185" t="str">
        <v>x</v>
      </c>
      <c r="O23" s="185" t="e">
        <f ca="1"/>
        <v>#NAME?</v>
      </c>
      <c r="P23" s="185" t="e">
        <f ca="1"/>
        <v>#NAME?</v>
      </c>
      <c r="Q23" s="185" t="e">
        <f ca="1">O23/P23</f>
        <v>#NAME?</v>
      </c>
      <c r="R23" s="185" t="e">
        <f ca="1">TDIST(ABS(Q23),$O$15,2)</f>
        <v>#NAME?</v>
      </c>
      <c r="S23" s="185" t="e">
        <f ca="1">O23-TINV(S$12,$O$15)*P23</f>
        <v>#NAME?</v>
      </c>
      <c r="T23" s="185" t="e">
        <f ca="1">O23+TINV(S$12,$O$15)*P23</f>
        <v>#NAME?</v>
      </c>
      <c r="U23" s="185" t="e">
        <f ca="1">VIF(H4:K63,4)</f>
        <v>#NAME?</v>
      </c>
    </row>
    <row r="24" spans="1:21" x14ac:dyDescent="0.25">
      <c r="H24" s="39">
        <v>0</v>
      </c>
      <c r="I24" s="38">
        <v>1</v>
      </c>
      <c r="J24" s="38">
        <v>0</v>
      </c>
      <c r="K24" s="7">
        <f t="shared" si="4"/>
        <v>44</v>
      </c>
      <c r="L24" s="108">
        <f t="shared" si="5"/>
        <v>13</v>
      </c>
    </row>
    <row r="25" spans="1:21" x14ac:dyDescent="0.25">
      <c r="H25" s="39">
        <v>0</v>
      </c>
      <c r="I25" s="38">
        <v>1</v>
      </c>
      <c r="J25" s="38">
        <v>0</v>
      </c>
      <c r="K25" s="7">
        <f t="shared" si="4"/>
        <v>92</v>
      </c>
      <c r="L25" s="108">
        <f t="shared" si="5"/>
        <v>22</v>
      </c>
    </row>
    <row r="26" spans="1:21" x14ac:dyDescent="0.25">
      <c r="H26" s="39">
        <v>0</v>
      </c>
      <c r="I26" s="38">
        <v>1</v>
      </c>
      <c r="J26" s="38">
        <v>0</v>
      </c>
      <c r="K26" s="7">
        <f t="shared" si="4"/>
        <v>93</v>
      </c>
      <c r="L26" s="108">
        <f t="shared" si="5"/>
        <v>22</v>
      </c>
    </row>
    <row r="27" spans="1:21" x14ac:dyDescent="0.25">
      <c r="H27" s="39">
        <v>0</v>
      </c>
      <c r="I27" s="38">
        <v>1</v>
      </c>
      <c r="J27" s="38">
        <v>0</v>
      </c>
      <c r="K27" s="7">
        <f t="shared" si="4"/>
        <v>78</v>
      </c>
      <c r="L27" s="108">
        <f t="shared" si="5"/>
        <v>20</v>
      </c>
    </row>
    <row r="28" spans="1:21" x14ac:dyDescent="0.25">
      <c r="H28" s="39">
        <v>0</v>
      </c>
      <c r="I28" s="38">
        <v>1</v>
      </c>
      <c r="J28" s="38">
        <v>0</v>
      </c>
      <c r="K28" s="7">
        <f t="shared" si="4"/>
        <v>93</v>
      </c>
      <c r="L28" s="108">
        <f t="shared" si="5"/>
        <v>22</v>
      </c>
    </row>
    <row r="29" spans="1:21" x14ac:dyDescent="0.25">
      <c r="H29" s="39">
        <v>0</v>
      </c>
      <c r="I29" s="38">
        <v>1</v>
      </c>
      <c r="J29" s="38">
        <v>0</v>
      </c>
      <c r="K29" s="7">
        <f t="shared" si="4"/>
        <v>78</v>
      </c>
      <c r="L29" s="108">
        <f t="shared" si="5"/>
        <v>25</v>
      </c>
    </row>
    <row r="30" spans="1:21" x14ac:dyDescent="0.25">
      <c r="H30" s="39">
        <v>0</v>
      </c>
      <c r="I30" s="38">
        <v>1</v>
      </c>
      <c r="J30" s="38">
        <v>0</v>
      </c>
      <c r="K30" s="7">
        <f t="shared" si="4"/>
        <v>94</v>
      </c>
      <c r="L30" s="108">
        <f t="shared" si="5"/>
        <v>26</v>
      </c>
    </row>
    <row r="31" spans="1:21" x14ac:dyDescent="0.25">
      <c r="H31" s="39">
        <v>0</v>
      </c>
      <c r="I31" s="38">
        <v>1</v>
      </c>
      <c r="J31" s="38">
        <v>0</v>
      </c>
      <c r="K31" s="7">
        <f t="shared" si="4"/>
        <v>64</v>
      </c>
      <c r="L31" s="108">
        <f t="shared" si="5"/>
        <v>12</v>
      </c>
    </row>
    <row r="32" spans="1:21" x14ac:dyDescent="0.25">
      <c r="H32" s="39">
        <v>0</v>
      </c>
      <c r="I32" s="38">
        <v>1</v>
      </c>
      <c r="J32" s="38">
        <v>0</v>
      </c>
      <c r="K32" s="7">
        <f t="shared" si="4"/>
        <v>41</v>
      </c>
      <c r="L32" s="108">
        <f t="shared" si="5"/>
        <v>9</v>
      </c>
    </row>
    <row r="33" spans="8:12" x14ac:dyDescent="0.25">
      <c r="H33" s="283">
        <v>0</v>
      </c>
      <c r="I33" s="280">
        <v>1</v>
      </c>
      <c r="J33" s="280">
        <v>0</v>
      </c>
      <c r="K33" s="185">
        <f t="shared" si="4"/>
        <v>26</v>
      </c>
      <c r="L33" s="56">
        <f t="shared" si="5"/>
        <v>8</v>
      </c>
    </row>
    <row r="34" spans="8:12" x14ac:dyDescent="0.25">
      <c r="H34" s="282">
        <v>0</v>
      </c>
      <c r="I34" s="275">
        <v>0</v>
      </c>
      <c r="J34" s="275">
        <v>1</v>
      </c>
      <c r="K34" s="192">
        <f>F4</f>
        <v>86</v>
      </c>
      <c r="L34" s="281">
        <f>D4</f>
        <v>23</v>
      </c>
    </row>
    <row r="35" spans="8:12" x14ac:dyDescent="0.25">
      <c r="H35" s="39">
        <v>0</v>
      </c>
      <c r="I35" s="38">
        <v>0</v>
      </c>
      <c r="J35" s="38">
        <v>1</v>
      </c>
      <c r="K35" s="7">
        <f t="shared" ref="K35:K48" si="6">F5</f>
        <v>83</v>
      </c>
      <c r="L35" s="108">
        <f t="shared" ref="L35:L48" si="7">D5</f>
        <v>24</v>
      </c>
    </row>
    <row r="36" spans="8:12" x14ac:dyDescent="0.25">
      <c r="H36" s="39">
        <v>0</v>
      </c>
      <c r="I36" s="38">
        <v>0</v>
      </c>
      <c r="J36" s="38">
        <v>1</v>
      </c>
      <c r="K36" s="7">
        <f t="shared" si="6"/>
        <v>100</v>
      </c>
      <c r="L36" s="108">
        <f t="shared" si="7"/>
        <v>26</v>
      </c>
    </row>
    <row r="37" spans="8:12" x14ac:dyDescent="0.25">
      <c r="H37" s="39">
        <v>0</v>
      </c>
      <c r="I37" s="38">
        <v>0</v>
      </c>
      <c r="J37" s="38">
        <v>1</v>
      </c>
      <c r="K37" s="7">
        <f t="shared" si="6"/>
        <v>86</v>
      </c>
      <c r="L37" s="108">
        <f t="shared" si="7"/>
        <v>28</v>
      </c>
    </row>
    <row r="38" spans="8:12" x14ac:dyDescent="0.25">
      <c r="H38" s="39">
        <v>0</v>
      </c>
      <c r="I38" s="38">
        <v>0</v>
      </c>
      <c r="J38" s="38">
        <v>1</v>
      </c>
      <c r="K38" s="7">
        <f t="shared" si="6"/>
        <v>45</v>
      </c>
      <c r="L38" s="108">
        <f t="shared" si="7"/>
        <v>13</v>
      </c>
    </row>
    <row r="39" spans="8:12" x14ac:dyDescent="0.25">
      <c r="H39" s="39">
        <v>0</v>
      </c>
      <c r="I39" s="38">
        <v>0</v>
      </c>
      <c r="J39" s="38">
        <v>1</v>
      </c>
      <c r="K39" s="7">
        <f t="shared" si="6"/>
        <v>44</v>
      </c>
      <c r="L39" s="108">
        <f t="shared" si="7"/>
        <v>11</v>
      </c>
    </row>
    <row r="40" spans="8:12" x14ac:dyDescent="0.25">
      <c r="H40" s="39">
        <v>0</v>
      </c>
      <c r="I40" s="38">
        <v>0</v>
      </c>
      <c r="J40" s="38">
        <v>1</v>
      </c>
      <c r="K40" s="7">
        <f t="shared" si="6"/>
        <v>92</v>
      </c>
      <c r="L40" s="108">
        <f t="shared" si="7"/>
        <v>25</v>
      </c>
    </row>
    <row r="41" spans="8:12" x14ac:dyDescent="0.25">
      <c r="H41" s="39">
        <v>0</v>
      </c>
      <c r="I41" s="38">
        <v>0</v>
      </c>
      <c r="J41" s="38">
        <v>1</v>
      </c>
      <c r="K41" s="7">
        <f t="shared" si="6"/>
        <v>93</v>
      </c>
      <c r="L41" s="108">
        <f t="shared" si="7"/>
        <v>23</v>
      </c>
    </row>
    <row r="42" spans="8:12" x14ac:dyDescent="0.25">
      <c r="H42" s="39">
        <v>0</v>
      </c>
      <c r="I42" s="38">
        <v>0</v>
      </c>
      <c r="J42" s="38">
        <v>1</v>
      </c>
      <c r="K42" s="7">
        <f t="shared" si="6"/>
        <v>78</v>
      </c>
      <c r="L42" s="108">
        <f t="shared" si="7"/>
        <v>22</v>
      </c>
    </row>
    <row r="43" spans="8:12" x14ac:dyDescent="0.25">
      <c r="H43" s="39">
        <v>0</v>
      </c>
      <c r="I43" s="38">
        <v>0</v>
      </c>
      <c r="J43" s="38">
        <v>1</v>
      </c>
      <c r="K43" s="7">
        <f t="shared" si="6"/>
        <v>93</v>
      </c>
      <c r="L43" s="108">
        <f t="shared" si="7"/>
        <v>26</v>
      </c>
    </row>
    <row r="44" spans="8:12" x14ac:dyDescent="0.25">
      <c r="H44" s="39">
        <v>0</v>
      </c>
      <c r="I44" s="38">
        <v>0</v>
      </c>
      <c r="J44" s="38">
        <v>1</v>
      </c>
      <c r="K44" s="7">
        <f t="shared" si="6"/>
        <v>78</v>
      </c>
      <c r="L44" s="108">
        <f t="shared" si="7"/>
        <v>18</v>
      </c>
    </row>
    <row r="45" spans="8:12" x14ac:dyDescent="0.25">
      <c r="H45" s="39">
        <v>0</v>
      </c>
      <c r="I45" s="38">
        <v>0</v>
      </c>
      <c r="J45" s="38">
        <v>1</v>
      </c>
      <c r="K45" s="7">
        <f t="shared" si="6"/>
        <v>94</v>
      </c>
      <c r="L45" s="108">
        <f t="shared" si="7"/>
        <v>21</v>
      </c>
    </row>
    <row r="46" spans="8:12" x14ac:dyDescent="0.25">
      <c r="H46" s="39">
        <v>0</v>
      </c>
      <c r="I46" s="38">
        <v>0</v>
      </c>
      <c r="J46" s="38">
        <v>1</v>
      </c>
      <c r="K46" s="7">
        <f t="shared" si="6"/>
        <v>64</v>
      </c>
      <c r="L46" s="108">
        <f t="shared" si="7"/>
        <v>20</v>
      </c>
    </row>
    <row r="47" spans="8:12" x14ac:dyDescent="0.25">
      <c r="H47" s="39">
        <v>0</v>
      </c>
      <c r="I47" s="38">
        <v>0</v>
      </c>
      <c r="J47" s="38">
        <v>1</v>
      </c>
      <c r="K47" s="7">
        <f t="shared" si="6"/>
        <v>41</v>
      </c>
      <c r="L47" s="108">
        <f t="shared" si="7"/>
        <v>13</v>
      </c>
    </row>
    <row r="48" spans="8:12" x14ac:dyDescent="0.25">
      <c r="H48" s="283">
        <v>0</v>
      </c>
      <c r="I48" s="280">
        <v>0</v>
      </c>
      <c r="J48" s="280">
        <v>1</v>
      </c>
      <c r="K48" s="185">
        <f t="shared" si="6"/>
        <v>26</v>
      </c>
      <c r="L48" s="56">
        <f t="shared" si="7"/>
        <v>6</v>
      </c>
    </row>
    <row r="49" spans="8:12" x14ac:dyDescent="0.25">
      <c r="H49" s="282">
        <v>-1</v>
      </c>
      <c r="I49" s="275">
        <v>-1</v>
      </c>
      <c r="J49" s="275">
        <v>-1</v>
      </c>
      <c r="K49" s="192">
        <f>F4</f>
        <v>86</v>
      </c>
      <c r="L49" s="281">
        <f>E4</f>
        <v>25</v>
      </c>
    </row>
    <row r="50" spans="8:12" x14ac:dyDescent="0.25">
      <c r="H50" s="39">
        <v>-1</v>
      </c>
      <c r="I50" s="38">
        <v>-1</v>
      </c>
      <c r="J50" s="38">
        <v>-1</v>
      </c>
      <c r="K50" s="7">
        <f t="shared" ref="K50:K63" si="8">F5</f>
        <v>83</v>
      </c>
      <c r="L50" s="108">
        <f t="shared" ref="L50:L63" si="9">E5</f>
        <v>29</v>
      </c>
    </row>
    <row r="51" spans="8:12" x14ac:dyDescent="0.25">
      <c r="H51" s="39">
        <v>-1</v>
      </c>
      <c r="I51" s="38">
        <v>-1</v>
      </c>
      <c r="J51" s="38">
        <v>-1</v>
      </c>
      <c r="K51" s="7">
        <f t="shared" si="8"/>
        <v>100</v>
      </c>
      <c r="L51" s="108">
        <f t="shared" si="9"/>
        <v>27</v>
      </c>
    </row>
    <row r="52" spans="8:12" x14ac:dyDescent="0.25">
      <c r="H52" s="39">
        <v>-1</v>
      </c>
      <c r="I52" s="38">
        <v>-1</v>
      </c>
      <c r="J52" s="38">
        <v>-1</v>
      </c>
      <c r="K52" s="7">
        <f t="shared" si="8"/>
        <v>86</v>
      </c>
      <c r="L52" s="108">
        <f t="shared" si="9"/>
        <v>30</v>
      </c>
    </row>
    <row r="53" spans="8:12" x14ac:dyDescent="0.25">
      <c r="H53" s="39">
        <v>-1</v>
      </c>
      <c r="I53" s="38">
        <v>-1</v>
      </c>
      <c r="J53" s="38">
        <v>-1</v>
      </c>
      <c r="K53" s="7">
        <f t="shared" si="8"/>
        <v>45</v>
      </c>
      <c r="L53" s="108">
        <f t="shared" si="9"/>
        <v>17</v>
      </c>
    </row>
    <row r="54" spans="8:12" x14ac:dyDescent="0.25">
      <c r="H54" s="39">
        <v>-1</v>
      </c>
      <c r="I54" s="38">
        <v>-1</v>
      </c>
      <c r="J54" s="38">
        <v>-1</v>
      </c>
      <c r="K54" s="7">
        <f t="shared" si="8"/>
        <v>44</v>
      </c>
      <c r="L54" s="108">
        <f t="shared" si="9"/>
        <v>15</v>
      </c>
    </row>
    <row r="55" spans="8:12" x14ac:dyDescent="0.25">
      <c r="H55" s="39">
        <v>-1</v>
      </c>
      <c r="I55" s="38">
        <v>-1</v>
      </c>
      <c r="J55" s="38">
        <v>-1</v>
      </c>
      <c r="K55" s="7">
        <f t="shared" si="8"/>
        <v>92</v>
      </c>
      <c r="L55" s="108">
        <f t="shared" si="9"/>
        <v>26</v>
      </c>
    </row>
    <row r="56" spans="8:12" x14ac:dyDescent="0.25">
      <c r="H56" s="39">
        <v>-1</v>
      </c>
      <c r="I56" s="38">
        <v>-1</v>
      </c>
      <c r="J56" s="38">
        <v>-1</v>
      </c>
      <c r="K56" s="7">
        <f t="shared" si="8"/>
        <v>93</v>
      </c>
      <c r="L56" s="108">
        <f t="shared" si="9"/>
        <v>26</v>
      </c>
    </row>
    <row r="57" spans="8:12" x14ac:dyDescent="0.25">
      <c r="H57" s="39">
        <v>-1</v>
      </c>
      <c r="I57" s="38">
        <v>-1</v>
      </c>
      <c r="J57" s="38">
        <v>-1</v>
      </c>
      <c r="K57" s="7">
        <f t="shared" si="8"/>
        <v>78</v>
      </c>
      <c r="L57" s="108">
        <f t="shared" si="9"/>
        <v>24</v>
      </c>
    </row>
    <row r="58" spans="8:12" x14ac:dyDescent="0.25">
      <c r="H58" s="39">
        <v>-1</v>
      </c>
      <c r="I58" s="38">
        <v>-1</v>
      </c>
      <c r="J58" s="38">
        <v>-1</v>
      </c>
      <c r="K58" s="7">
        <f t="shared" si="8"/>
        <v>93</v>
      </c>
      <c r="L58" s="108">
        <f t="shared" si="9"/>
        <v>29</v>
      </c>
    </row>
    <row r="59" spans="8:12" x14ac:dyDescent="0.25">
      <c r="H59" s="39">
        <v>-1</v>
      </c>
      <c r="I59" s="38">
        <v>-1</v>
      </c>
      <c r="J59" s="38">
        <v>-1</v>
      </c>
      <c r="K59" s="7">
        <f t="shared" si="8"/>
        <v>78</v>
      </c>
      <c r="L59" s="108">
        <f t="shared" si="9"/>
        <v>21</v>
      </c>
    </row>
    <row r="60" spans="8:12" x14ac:dyDescent="0.25">
      <c r="H60" s="39">
        <v>-1</v>
      </c>
      <c r="I60" s="38">
        <v>-1</v>
      </c>
      <c r="J60" s="38">
        <v>-1</v>
      </c>
      <c r="K60" s="7">
        <f t="shared" si="8"/>
        <v>94</v>
      </c>
      <c r="L60" s="108">
        <f t="shared" si="9"/>
        <v>23</v>
      </c>
    </row>
    <row r="61" spans="8:12" x14ac:dyDescent="0.25">
      <c r="H61" s="39">
        <v>-1</v>
      </c>
      <c r="I61" s="38">
        <v>-1</v>
      </c>
      <c r="J61" s="38">
        <v>-1</v>
      </c>
      <c r="K61" s="7">
        <f t="shared" si="8"/>
        <v>64</v>
      </c>
      <c r="L61" s="108">
        <f t="shared" si="9"/>
        <v>23</v>
      </c>
    </row>
    <row r="62" spans="8:12" x14ac:dyDescent="0.25">
      <c r="H62" s="39">
        <v>-1</v>
      </c>
      <c r="I62" s="38">
        <v>-1</v>
      </c>
      <c r="J62" s="38">
        <v>-1</v>
      </c>
      <c r="K62" s="7">
        <f t="shared" si="8"/>
        <v>41</v>
      </c>
      <c r="L62" s="108">
        <f t="shared" si="9"/>
        <v>16</v>
      </c>
    </row>
    <row r="63" spans="8:12" x14ac:dyDescent="0.25">
      <c r="H63" s="283">
        <v>-1</v>
      </c>
      <c r="I63" s="280">
        <v>-1</v>
      </c>
      <c r="J63" s="280">
        <v>-1</v>
      </c>
      <c r="K63" s="185">
        <f t="shared" si="8"/>
        <v>26</v>
      </c>
      <c r="L63" s="56">
        <f t="shared" si="9"/>
        <v>10</v>
      </c>
    </row>
  </sheetData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8"/>
  <dimension ref="A1:BA42"/>
  <sheetViews>
    <sheetView topLeftCell="A2" workbookViewId="0">
      <selection activeCell="S21" sqref="S21"/>
    </sheetView>
  </sheetViews>
  <sheetFormatPr defaultRowHeight="15" x14ac:dyDescent="0.25"/>
  <cols>
    <col min="1" max="1" width="8" customWidth="1"/>
    <col min="2" max="8" width="8.85546875" customWidth="1"/>
    <col min="9" max="9" width="4.42578125" customWidth="1"/>
    <col min="10" max="11" width="8.85546875" customWidth="1"/>
    <col min="12" max="12" width="3.140625" customWidth="1"/>
    <col min="13" max="16" width="8.85546875" customWidth="1"/>
    <col min="17" max="17" width="11.7109375" customWidth="1"/>
    <col min="23" max="23" width="15.28515625" customWidth="1"/>
    <col min="35" max="35" width="16" customWidth="1"/>
    <col min="38" max="38" width="8" customWidth="1"/>
    <col min="42" max="42" width="4.140625" customWidth="1"/>
    <col min="43" max="43" width="17.140625" customWidth="1"/>
    <col min="46" max="46" width="14.7109375" customWidth="1"/>
    <col min="47" max="47" width="12.7109375" customWidth="1"/>
    <col min="52" max="52" width="9.140625" customWidth="1"/>
  </cols>
  <sheetData>
    <row r="1" spans="1:53" x14ac:dyDescent="0.25">
      <c r="A1" s="1" t="s">
        <v>291</v>
      </c>
      <c r="Q1" t="s">
        <v>231</v>
      </c>
    </row>
    <row r="2" spans="1:53" ht="15.75" thickBot="1" x14ac:dyDescent="0.3">
      <c r="A2" s="1"/>
      <c r="AF2" t="s">
        <v>235</v>
      </c>
      <c r="AI2" t="s">
        <v>147</v>
      </c>
      <c r="AM2" t="s">
        <v>236</v>
      </c>
      <c r="AQ2" t="s">
        <v>147</v>
      </c>
      <c r="AT2" t="s">
        <v>84</v>
      </c>
    </row>
    <row r="3" spans="1:53" ht="15.75" thickBot="1" x14ac:dyDescent="0.3">
      <c r="A3" s="1"/>
      <c r="B3" s="112" t="s">
        <v>237</v>
      </c>
      <c r="C3" s="113" t="s">
        <v>237</v>
      </c>
      <c r="D3" s="114" t="s">
        <v>237</v>
      </c>
      <c r="E3" s="112" t="s">
        <v>238</v>
      </c>
      <c r="F3" s="113" t="s">
        <v>238</v>
      </c>
      <c r="G3" s="114" t="s">
        <v>238</v>
      </c>
      <c r="R3" s="12" t="s">
        <v>21</v>
      </c>
      <c r="S3" s="12" t="s">
        <v>22</v>
      </c>
      <c r="T3" s="12" t="s">
        <v>120</v>
      </c>
      <c r="U3" s="12" t="s">
        <v>16</v>
      </c>
      <c r="W3" t="s">
        <v>84</v>
      </c>
      <c r="AT3" s="474" t="s">
        <v>239</v>
      </c>
      <c r="AU3" s="474"/>
      <c r="AV3" s="84" t="s">
        <v>76</v>
      </c>
      <c r="AW3" s="84" t="s">
        <v>37</v>
      </c>
      <c r="AX3" s="84" t="s">
        <v>78</v>
      </c>
      <c r="AY3" s="84" t="s">
        <v>68</v>
      </c>
      <c r="AZ3" s="84" t="s">
        <v>62</v>
      </c>
      <c r="BA3" s="84" t="s">
        <v>108</v>
      </c>
    </row>
    <row r="4" spans="1:53" x14ac:dyDescent="0.25">
      <c r="A4" s="83" t="s">
        <v>35</v>
      </c>
      <c r="B4" s="62" t="s">
        <v>232</v>
      </c>
      <c r="C4" s="65" t="s">
        <v>233</v>
      </c>
      <c r="D4" s="54" t="s">
        <v>234</v>
      </c>
      <c r="E4" s="62" t="s">
        <v>232</v>
      </c>
      <c r="F4" s="65" t="s">
        <v>233</v>
      </c>
      <c r="G4" s="54" t="s">
        <v>234</v>
      </c>
      <c r="J4" s="83" t="s">
        <v>237</v>
      </c>
      <c r="K4" s="83" t="s">
        <v>238</v>
      </c>
      <c r="M4" s="33" t="s">
        <v>232</v>
      </c>
      <c r="N4" s="33" t="s">
        <v>233</v>
      </c>
      <c r="O4" s="33" t="s">
        <v>234</v>
      </c>
      <c r="R4" s="109">
        <f>COUNTA(J4:K4)</f>
        <v>2</v>
      </c>
      <c r="S4" s="110">
        <f>COUNTA(M4:O4)</f>
        <v>3</v>
      </c>
      <c r="T4" s="110">
        <f>COUNTA(A5:A14)</f>
        <v>10</v>
      </c>
      <c r="U4" s="111">
        <f>PRODUCT(R4:T4)</f>
        <v>60</v>
      </c>
      <c r="W4" s="84" t="s">
        <v>100</v>
      </c>
      <c r="X4" s="84" t="s">
        <v>76</v>
      </c>
      <c r="Y4" s="84" t="s">
        <v>37</v>
      </c>
      <c r="Z4" s="84" t="s">
        <v>78</v>
      </c>
      <c r="AA4" s="84" t="s">
        <v>68</v>
      </c>
      <c r="AB4" s="84" t="s">
        <v>62</v>
      </c>
      <c r="AC4" s="84" t="s">
        <v>108</v>
      </c>
      <c r="AF4">
        <v>1</v>
      </c>
      <c r="AG4">
        <f>AF4+1</f>
        <v>2</v>
      </c>
      <c r="AI4" t="s">
        <v>149</v>
      </c>
      <c r="AJ4" s="105">
        <f>R4</f>
        <v>2</v>
      </c>
      <c r="AK4" s="7"/>
      <c r="AM4">
        <v>1</v>
      </c>
      <c r="AN4">
        <f>AM4+1</f>
        <v>2</v>
      </c>
      <c r="AO4">
        <f>AN4+1</f>
        <v>3</v>
      </c>
      <c r="AQ4" t="s">
        <v>149</v>
      </c>
      <c r="AR4" s="105">
        <f>S4</f>
        <v>3</v>
      </c>
      <c r="AT4" s="16" t="s">
        <v>240</v>
      </c>
      <c r="AU4" s="16" t="s">
        <v>241</v>
      </c>
      <c r="AV4" s="16">
        <f>X5</f>
        <v>828.81666666666672</v>
      </c>
      <c r="AW4" s="16">
        <f>Y5</f>
        <v>1</v>
      </c>
      <c r="AX4" s="16">
        <f>AV4/AW4</f>
        <v>828.81666666666672</v>
      </c>
      <c r="AY4" s="16">
        <f>AX4/AX8</f>
        <v>33.852280462899877</v>
      </c>
      <c r="AZ4" t="e">
        <f ca="1">F_DIST_RT(AY4,AW4,AW8)</f>
        <v>#NAME?</v>
      </c>
      <c r="BA4">
        <f>FINV(0.05,AW4,AW8)</f>
        <v>5.1173550291992269</v>
      </c>
    </row>
    <row r="5" spans="1:53" x14ac:dyDescent="0.25">
      <c r="A5" s="83">
        <v>1</v>
      </c>
      <c r="B5" s="102">
        <v>13</v>
      </c>
      <c r="C5" s="103">
        <v>12</v>
      </c>
      <c r="D5" s="104">
        <v>17</v>
      </c>
      <c r="E5" s="102">
        <v>18</v>
      </c>
      <c r="F5" s="103">
        <v>30</v>
      </c>
      <c r="G5" s="104">
        <v>34</v>
      </c>
      <c r="H5">
        <f>AVERAGE(B5:G5)</f>
        <v>20.666666666666668</v>
      </c>
      <c r="J5" s="102">
        <f t="shared" ref="J5:K14" si="0">AVERAGEIF($B$3:$G$3,J$4,$B5:$G5)</f>
        <v>14</v>
      </c>
      <c r="K5" s="104">
        <f t="shared" si="0"/>
        <v>27.333333333333332</v>
      </c>
      <c r="M5" s="102">
        <f>AVERAGEIF($B$4:$G$4,M$4,$B5:$G5)</f>
        <v>15.5</v>
      </c>
      <c r="N5" s="103">
        <f t="shared" ref="N5:O8" si="1">AVERAGEIF($B$4:$G$4,N$4,$B5:$G5)</f>
        <v>21</v>
      </c>
      <c r="O5" s="104">
        <f t="shared" si="1"/>
        <v>25.5</v>
      </c>
      <c r="W5" s="16" t="s">
        <v>240</v>
      </c>
      <c r="X5" s="16">
        <f>S8</f>
        <v>828.81666666666672</v>
      </c>
      <c r="Y5" s="16">
        <f>T8</f>
        <v>1</v>
      </c>
      <c r="Z5" s="16">
        <f>X5/Y5</f>
        <v>828.81666666666672</v>
      </c>
      <c r="AA5" s="16">
        <f>Z5/Z6</f>
        <v>33.852280462899877</v>
      </c>
      <c r="AB5">
        <f>FDIST(AA5,Y5,Y6)</f>
        <v>2.5360766055906994E-4</v>
      </c>
      <c r="AC5">
        <f>FINV(0.05,Y5,Y6)</f>
        <v>5.1173550291992269</v>
      </c>
      <c r="AF5" s="102" t="e">
        <f t="array" aca="1" ref="AF5:AG6" ca="1">COV(J5:K14)</f>
        <v>#NAME?</v>
      </c>
      <c r="AG5" s="104" t="e">
        <f ca="1"/>
        <v>#NAME?</v>
      </c>
      <c r="AI5" t="s">
        <v>150</v>
      </c>
      <c r="AJ5" s="78" t="e">
        <f ca="1">AVERAGE(AF8:AG8)</f>
        <v>#NAME?</v>
      </c>
      <c r="AK5" s="7"/>
      <c r="AM5" s="102" t="e">
        <f t="array" aca="1" ref="AM5:AO7" ca="1">COV(M5:O14)</f>
        <v>#NAME?</v>
      </c>
      <c r="AN5" s="103" t="e">
        <f ca="1"/>
        <v>#NAME?</v>
      </c>
      <c r="AO5" s="104" t="e">
        <f ca="1"/>
        <v>#NAME?</v>
      </c>
      <c r="AQ5" t="s">
        <v>150</v>
      </c>
      <c r="AR5" s="78" t="e">
        <f ca="1">AVERAGE(AM9:AO9)</f>
        <v>#NAME?</v>
      </c>
      <c r="AU5" t="s">
        <v>242</v>
      </c>
      <c r="AV5">
        <f>AV4</f>
        <v>828.81666666666672</v>
      </c>
      <c r="AW5" t="e">
        <f ca="1">AW4*AJ11</f>
        <v>#NAME?</v>
      </c>
      <c r="AX5" s="16" t="e">
        <f t="shared" ref="AX5:AX11" ca="1" si="2">AV5/AW5</f>
        <v>#NAME?</v>
      </c>
      <c r="AY5" s="16" t="e">
        <f ca="1">AX5/AX9</f>
        <v>#NAME?</v>
      </c>
      <c r="AZ5" t="e">
        <f ca="1">F_DIST_RT(AY5,AW5,AW9)</f>
        <v>#NAME?</v>
      </c>
      <c r="BA5" t="e">
        <f ca="1">FINV(0.05,AW5,AW9)</f>
        <v>#NAME?</v>
      </c>
    </row>
    <row r="6" spans="1:53" x14ac:dyDescent="0.25">
      <c r="A6" s="83">
        <f>A5+1</f>
        <v>2</v>
      </c>
      <c r="B6" s="107">
        <v>12</v>
      </c>
      <c r="C6" s="7">
        <v>19</v>
      </c>
      <c r="D6" s="108">
        <v>18</v>
      </c>
      <c r="E6" s="107">
        <v>6</v>
      </c>
      <c r="F6" s="7">
        <v>18</v>
      </c>
      <c r="G6" s="108">
        <v>30</v>
      </c>
      <c r="H6">
        <f t="shared" ref="H6:H15" si="3">AVERAGE(B6:G6)</f>
        <v>17.166666666666668</v>
      </c>
      <c r="J6" s="107">
        <f t="shared" si="0"/>
        <v>16.333333333333332</v>
      </c>
      <c r="K6" s="108">
        <f t="shared" si="0"/>
        <v>18</v>
      </c>
      <c r="M6" s="107">
        <f t="shared" ref="M6:O14" si="4">AVERAGEIF($B$4:$G$4,M$4,$B6:$G6)</f>
        <v>9</v>
      </c>
      <c r="N6" s="7">
        <f t="shared" si="1"/>
        <v>18.5</v>
      </c>
      <c r="O6" s="108">
        <f t="shared" si="1"/>
        <v>24</v>
      </c>
      <c r="R6" s="12" t="s">
        <v>75</v>
      </c>
      <c r="S6" s="12" t="s">
        <v>76</v>
      </c>
      <c r="T6" s="12" t="s">
        <v>37</v>
      </c>
      <c r="U6" s="12" t="s">
        <v>78</v>
      </c>
      <c r="W6" s="16" t="s">
        <v>243</v>
      </c>
      <c r="X6">
        <f>S14</f>
        <v>220.35000000000036</v>
      </c>
      <c r="Y6">
        <f>T14</f>
        <v>9</v>
      </c>
      <c r="Z6" s="7">
        <f t="shared" ref="Z6:Z11" si="5">X6/Y6</f>
        <v>24.483333333333373</v>
      </c>
      <c r="AF6" s="52" t="e">
        <f ca="1"/>
        <v>#NAME?</v>
      </c>
      <c r="AG6" s="56" t="e">
        <f ca="1"/>
        <v>#NAME?</v>
      </c>
      <c r="AI6" t="s">
        <v>151</v>
      </c>
      <c r="AJ6" s="78" t="e">
        <f ca="1">AVERAGE(AF5:AG6)</f>
        <v>#NAME?</v>
      </c>
      <c r="AK6" s="7"/>
      <c r="AM6" s="107" t="e">
        <f ca="1"/>
        <v>#NAME?</v>
      </c>
      <c r="AN6" s="7" t="e">
        <f ca="1"/>
        <v>#NAME?</v>
      </c>
      <c r="AO6" s="108" t="e">
        <f ca="1"/>
        <v>#NAME?</v>
      </c>
      <c r="AQ6" t="s">
        <v>151</v>
      </c>
      <c r="AR6" s="78" t="e">
        <f ca="1">AVERAGE(AM5:AO7)</f>
        <v>#NAME?</v>
      </c>
      <c r="AU6" t="s">
        <v>244</v>
      </c>
      <c r="AV6">
        <f>AV4</f>
        <v>828.81666666666672</v>
      </c>
      <c r="AW6" t="e">
        <f ca="1">AW4*AJ18</f>
        <v>#NAME?</v>
      </c>
      <c r="AX6" s="16" t="e">
        <f t="shared" ca="1" si="2"/>
        <v>#NAME?</v>
      </c>
      <c r="AY6" s="16" t="e">
        <f ca="1">AX6/AX10</f>
        <v>#NAME?</v>
      </c>
      <c r="AZ6" t="e">
        <f ca="1">F_DIST_RT(AY6,AW6,AW10)</f>
        <v>#NAME?</v>
      </c>
      <c r="BA6" t="e">
        <f ca="1">FINV(0.05,AW6,AW10)</f>
        <v>#NAME?</v>
      </c>
    </row>
    <row r="7" spans="1:53" x14ac:dyDescent="0.25">
      <c r="A7" s="83">
        <f t="shared" ref="A7:A14" si="6">A6+1</f>
        <v>3</v>
      </c>
      <c r="B7" s="107">
        <v>17</v>
      </c>
      <c r="C7" s="7">
        <v>19</v>
      </c>
      <c r="D7" s="108">
        <v>24</v>
      </c>
      <c r="E7" s="107">
        <v>21</v>
      </c>
      <c r="F7" s="7">
        <v>31</v>
      </c>
      <c r="G7" s="108">
        <v>32</v>
      </c>
      <c r="H7">
        <f t="shared" si="3"/>
        <v>24</v>
      </c>
      <c r="J7" s="107">
        <f t="shared" si="0"/>
        <v>20</v>
      </c>
      <c r="K7" s="108">
        <f t="shared" si="0"/>
        <v>28</v>
      </c>
      <c r="M7" s="107">
        <f t="shared" si="4"/>
        <v>19</v>
      </c>
      <c r="N7" s="7">
        <f t="shared" si="1"/>
        <v>25</v>
      </c>
      <c r="O7" s="108">
        <f t="shared" si="1"/>
        <v>28</v>
      </c>
      <c r="Q7" s="46" t="s">
        <v>1</v>
      </c>
      <c r="R7" s="102">
        <v>1</v>
      </c>
      <c r="S7" s="103">
        <f>DEVSQ(B5:G14)*R7</f>
        <v>4852.5833333333312</v>
      </c>
      <c r="T7" s="103">
        <f>U4-1</f>
        <v>59</v>
      </c>
      <c r="U7" s="104">
        <f t="shared" ref="U7:U17" si="7">S7/T7</f>
        <v>82.247175141242906</v>
      </c>
      <c r="W7" s="16" t="s">
        <v>245</v>
      </c>
      <c r="X7" s="16">
        <f>S9</f>
        <v>1365.2333333333331</v>
      </c>
      <c r="Y7" s="16">
        <f>T9</f>
        <v>2</v>
      </c>
      <c r="Z7" s="7">
        <f t="shared" si="5"/>
        <v>682.61666666666656</v>
      </c>
      <c r="AA7" s="16">
        <f>Z7/Z8</f>
        <v>26.959189643823574</v>
      </c>
      <c r="AB7">
        <f>FDIST(AA7,Y7,Y8)</f>
        <v>3.8538385756846721E-6</v>
      </c>
      <c r="AC7">
        <f>FINV(0.05,Y7,Y8)</f>
        <v>3.5545571456617879</v>
      </c>
      <c r="AE7" t="s">
        <v>6</v>
      </c>
      <c r="AF7" t="e">
        <f ca="1">AVERAGE(AF5:AF6)</f>
        <v>#NAME?</v>
      </c>
      <c r="AG7" t="e">
        <f ca="1">AVERAGE(AG5:AG6)</f>
        <v>#NAME?</v>
      </c>
      <c r="AI7" t="s">
        <v>152</v>
      </c>
      <c r="AJ7" s="78" t="e">
        <f ca="1">SUMSQ(AF5:AG6)</f>
        <v>#NAME?</v>
      </c>
      <c r="AK7" s="7"/>
      <c r="AM7" s="52" t="e">
        <f ca="1"/>
        <v>#NAME?</v>
      </c>
      <c r="AN7" s="53" t="e">
        <f ca="1"/>
        <v>#NAME?</v>
      </c>
      <c r="AO7" s="56" t="e">
        <f ca="1"/>
        <v>#NAME?</v>
      </c>
      <c r="AQ7" t="s">
        <v>152</v>
      </c>
      <c r="AR7" s="78" t="e">
        <f ca="1">SUMSQ(AM5:AO7)</f>
        <v>#NAME?</v>
      </c>
      <c r="AT7" s="53"/>
      <c r="AU7" s="53" t="s">
        <v>203</v>
      </c>
      <c r="AV7" s="53">
        <f>AV4</f>
        <v>828.81666666666672</v>
      </c>
      <c r="AW7" s="53">
        <f>AW4*AJ20</f>
        <v>1</v>
      </c>
      <c r="AX7" s="53">
        <f t="shared" si="2"/>
        <v>828.81666666666672</v>
      </c>
      <c r="AY7" s="53">
        <f>AX7/AX11</f>
        <v>33.852280462899877</v>
      </c>
      <c r="AZ7" s="317" t="e">
        <f ca="1">F_DIST_RT(AY7,AW7,AW11)</f>
        <v>#NAME?</v>
      </c>
      <c r="BA7" s="53">
        <f>FINV(0.05,AW7,AW11)</f>
        <v>5.1173550291992269</v>
      </c>
    </row>
    <row r="8" spans="1:53" x14ac:dyDescent="0.25">
      <c r="A8" s="83">
        <f t="shared" si="6"/>
        <v>4</v>
      </c>
      <c r="B8" s="107">
        <v>12</v>
      </c>
      <c r="C8" s="7">
        <v>25</v>
      </c>
      <c r="D8" s="108">
        <v>25</v>
      </c>
      <c r="E8" s="107">
        <v>18</v>
      </c>
      <c r="F8" s="7">
        <v>39</v>
      </c>
      <c r="G8" s="108">
        <v>40</v>
      </c>
      <c r="H8">
        <f t="shared" si="3"/>
        <v>26.5</v>
      </c>
      <c r="J8" s="107">
        <f t="shared" si="0"/>
        <v>20.666666666666668</v>
      </c>
      <c r="K8" s="108">
        <f t="shared" si="0"/>
        <v>32.333333333333336</v>
      </c>
      <c r="M8" s="107">
        <f t="shared" si="4"/>
        <v>15</v>
      </c>
      <c r="N8" s="7">
        <f t="shared" si="1"/>
        <v>32</v>
      </c>
      <c r="O8" s="108">
        <f t="shared" si="1"/>
        <v>32.5</v>
      </c>
      <c r="Q8" s="46" t="s">
        <v>240</v>
      </c>
      <c r="R8" s="107">
        <f>S4*T4</f>
        <v>30</v>
      </c>
      <c r="S8" s="7">
        <f>DEVSQ(J15:K15)*R8</f>
        <v>828.81666666666672</v>
      </c>
      <c r="T8" s="7">
        <f>R4-1</f>
        <v>1</v>
      </c>
      <c r="U8" s="108">
        <f t="shared" si="7"/>
        <v>828.81666666666672</v>
      </c>
      <c r="W8" s="16" t="s">
        <v>246</v>
      </c>
      <c r="X8">
        <f>S16</f>
        <v>455.76666666666688</v>
      </c>
      <c r="Y8">
        <f>T16</f>
        <v>18</v>
      </c>
      <c r="Z8" s="7">
        <f t="shared" si="5"/>
        <v>25.320370370370384</v>
      </c>
      <c r="AE8" t="s">
        <v>247</v>
      </c>
      <c r="AF8" t="e">
        <f ca="1">INDEX(AF5:AF6,AF4)</f>
        <v>#NAME?</v>
      </c>
      <c r="AG8" t="e">
        <f ca="1">INDEX(AG5:AG6,AG4)</f>
        <v>#NAME?</v>
      </c>
      <c r="AI8" t="s">
        <v>153</v>
      </c>
      <c r="AJ8" s="78" t="e">
        <f ca="1">SUMSQ(AF7:AG7)</f>
        <v>#NAME?</v>
      </c>
      <c r="AK8" s="7"/>
      <c r="AL8" t="s">
        <v>6</v>
      </c>
      <c r="AM8" t="e">
        <f ca="1">AVERAGE(AM5:AM7)</f>
        <v>#NAME?</v>
      </c>
      <c r="AN8" t="e">
        <f ca="1">AVERAGE(AN5:AN7)</f>
        <v>#NAME?</v>
      </c>
      <c r="AO8" t="e">
        <f ca="1">AVERAGE(AO5:AO7)</f>
        <v>#NAME?</v>
      </c>
      <c r="AQ8" t="s">
        <v>153</v>
      </c>
      <c r="AR8" s="78" t="e">
        <f ca="1">SUMSQ(AM8:AO8)</f>
        <v>#NAME?</v>
      </c>
      <c r="AT8" s="16" t="s">
        <v>243</v>
      </c>
      <c r="AU8" s="16" t="s">
        <v>241</v>
      </c>
      <c r="AV8">
        <f>X6</f>
        <v>220.35000000000036</v>
      </c>
      <c r="AW8">
        <f>Y6</f>
        <v>9</v>
      </c>
      <c r="AX8" s="7">
        <f t="shared" si="2"/>
        <v>24.483333333333373</v>
      </c>
      <c r="AY8" s="16"/>
      <c r="AZ8" s="16"/>
      <c r="BA8" s="16"/>
    </row>
    <row r="9" spans="1:53" x14ac:dyDescent="0.25">
      <c r="A9" s="83">
        <f t="shared" si="6"/>
        <v>5</v>
      </c>
      <c r="B9" s="107">
        <v>19</v>
      </c>
      <c r="C9" s="7">
        <v>27</v>
      </c>
      <c r="D9" s="108">
        <v>19</v>
      </c>
      <c r="E9" s="107">
        <v>18</v>
      </c>
      <c r="F9" s="7">
        <v>28</v>
      </c>
      <c r="G9" s="108">
        <v>27</v>
      </c>
      <c r="H9">
        <f t="shared" si="3"/>
        <v>23</v>
      </c>
      <c r="J9" s="107">
        <f t="shared" si="0"/>
        <v>21.666666666666668</v>
      </c>
      <c r="K9" s="108">
        <f t="shared" si="0"/>
        <v>24.333333333333332</v>
      </c>
      <c r="M9" s="107">
        <f t="shared" si="4"/>
        <v>18.5</v>
      </c>
      <c r="N9" s="7">
        <f t="shared" si="4"/>
        <v>27.5</v>
      </c>
      <c r="O9" s="108">
        <f t="shared" si="4"/>
        <v>23</v>
      </c>
      <c r="Q9" s="46" t="s">
        <v>245</v>
      </c>
      <c r="R9" s="107">
        <f>R4*T4</f>
        <v>20</v>
      </c>
      <c r="S9" s="7">
        <f>DEVSQ(M15:O15)*R9</f>
        <v>1365.2333333333331</v>
      </c>
      <c r="T9" s="7">
        <f>S4-1</f>
        <v>2</v>
      </c>
      <c r="U9" s="108">
        <f t="shared" si="7"/>
        <v>682.61666666666656</v>
      </c>
      <c r="W9" s="16" t="s">
        <v>126</v>
      </c>
      <c r="X9" s="16">
        <f>S12</f>
        <v>224.43333333333339</v>
      </c>
      <c r="Y9" s="16">
        <f>T12</f>
        <v>2</v>
      </c>
      <c r="Z9" s="7">
        <f t="shared" si="5"/>
        <v>112.2166666666667</v>
      </c>
      <c r="AA9" s="16">
        <f>Z9/Z10</f>
        <v>12.63227016885571</v>
      </c>
      <c r="AB9">
        <f>FDIST(AA9,Y9,Y10)</f>
        <v>3.7347686147367487E-4</v>
      </c>
      <c r="AC9">
        <f>FINV(0.05,Y9,Y10)</f>
        <v>3.5545571456617879</v>
      </c>
      <c r="AI9" t="s">
        <v>154</v>
      </c>
      <c r="AJ9" s="78" t="e">
        <f ca="1">(AJ4*(AJ5-AJ6))^2</f>
        <v>#NAME?</v>
      </c>
      <c r="AK9" s="7"/>
      <c r="AL9" t="s">
        <v>247</v>
      </c>
      <c r="AM9" t="e">
        <f ca="1">INDEX(AM5:AM7,AM4)</f>
        <v>#NAME?</v>
      </c>
      <c r="AN9" t="e">
        <f ca="1">INDEX(AN5:AN7,AN4)</f>
        <v>#NAME?</v>
      </c>
      <c r="AO9" t="e">
        <f ca="1">INDEX(AO5:AO7,AO4)</f>
        <v>#NAME?</v>
      </c>
      <c r="AQ9" t="s">
        <v>154</v>
      </c>
      <c r="AR9" s="78" t="e">
        <f ca="1">(AR4*(AR5-AR6))^2</f>
        <v>#NAME?</v>
      </c>
      <c r="AU9" t="s">
        <v>242</v>
      </c>
      <c r="AV9">
        <f>AV8</f>
        <v>220.35000000000036</v>
      </c>
      <c r="AW9" t="e">
        <f ca="1">AW8*AJ11</f>
        <v>#NAME?</v>
      </c>
      <c r="AX9" s="7" t="e">
        <f t="shared" ca="1" si="2"/>
        <v>#NAME?</v>
      </c>
      <c r="AY9" s="16"/>
      <c r="AZ9" s="16"/>
      <c r="BA9" s="16"/>
    </row>
    <row r="10" spans="1:53" x14ac:dyDescent="0.25">
      <c r="A10" s="83">
        <f t="shared" si="6"/>
        <v>6</v>
      </c>
      <c r="B10" s="107">
        <v>6</v>
      </c>
      <c r="C10" s="7">
        <v>12</v>
      </c>
      <c r="D10" s="108">
        <v>6</v>
      </c>
      <c r="E10" s="107">
        <v>6</v>
      </c>
      <c r="F10" s="7">
        <v>18</v>
      </c>
      <c r="G10" s="108">
        <v>23</v>
      </c>
      <c r="H10">
        <f t="shared" si="3"/>
        <v>11.833333333333334</v>
      </c>
      <c r="J10" s="107">
        <f t="shared" si="0"/>
        <v>8</v>
      </c>
      <c r="K10" s="108">
        <f t="shared" si="0"/>
        <v>15.666666666666666</v>
      </c>
      <c r="M10" s="107">
        <f t="shared" si="4"/>
        <v>6</v>
      </c>
      <c r="N10" s="7">
        <f t="shared" si="4"/>
        <v>15</v>
      </c>
      <c r="O10" s="108">
        <f t="shared" si="4"/>
        <v>14.5</v>
      </c>
      <c r="Q10" s="36" t="s">
        <v>248</v>
      </c>
      <c r="R10" s="107">
        <f>R4*S4</f>
        <v>6</v>
      </c>
      <c r="S10" s="7">
        <f>DEVSQ(H5:H14)*R10</f>
        <v>1598.083333333333</v>
      </c>
      <c r="T10" s="7">
        <f>T4-1</f>
        <v>9</v>
      </c>
      <c r="U10" s="108">
        <f t="shared" si="7"/>
        <v>177.56481481481478</v>
      </c>
      <c r="W10" s="16" t="s">
        <v>249</v>
      </c>
      <c r="X10" s="16">
        <f>S17</f>
        <v>159.89999999999782</v>
      </c>
      <c r="Y10" s="16">
        <f>T17</f>
        <v>18</v>
      </c>
      <c r="Z10" s="7">
        <f t="shared" si="5"/>
        <v>8.8833333333332121</v>
      </c>
      <c r="AA10" s="16"/>
      <c r="AB10" s="16"/>
      <c r="AC10" s="16"/>
      <c r="AI10" t="s">
        <v>155</v>
      </c>
      <c r="AJ10" s="78" t="e">
        <f ca="1">(AJ4-1)*(AJ7-2*AJ4*AJ8+AJ4^2*AJ6^2)</f>
        <v>#NAME?</v>
      </c>
      <c r="AK10" s="7"/>
      <c r="AQ10" t="s">
        <v>155</v>
      </c>
      <c r="AR10" s="78" t="e">
        <f ca="1">(AR4-1)*(AR7-2*AR4*AR8+AR4^2*AR6^2)</f>
        <v>#NAME?</v>
      </c>
      <c r="AU10" t="s">
        <v>244</v>
      </c>
      <c r="AV10">
        <f>AV8</f>
        <v>220.35000000000036</v>
      </c>
      <c r="AW10" t="e">
        <f ca="1">AW8*$AJ$18</f>
        <v>#NAME?</v>
      </c>
      <c r="AX10" s="7" t="e">
        <f t="shared" ca="1" si="2"/>
        <v>#NAME?</v>
      </c>
      <c r="AY10" s="16"/>
      <c r="AZ10" s="16"/>
      <c r="BA10" s="16"/>
    </row>
    <row r="11" spans="1:53" ht="15.75" thickBot="1" x14ac:dyDescent="0.3">
      <c r="A11" s="83">
        <f t="shared" si="6"/>
        <v>7</v>
      </c>
      <c r="B11" s="107">
        <v>17</v>
      </c>
      <c r="C11" s="7">
        <v>18</v>
      </c>
      <c r="D11" s="108">
        <v>30</v>
      </c>
      <c r="E11" s="107">
        <v>24</v>
      </c>
      <c r="F11" s="7">
        <v>36</v>
      </c>
      <c r="G11" s="108">
        <v>38</v>
      </c>
      <c r="H11">
        <f t="shared" si="3"/>
        <v>27.166666666666668</v>
      </c>
      <c r="J11" s="107">
        <f t="shared" si="0"/>
        <v>21.666666666666668</v>
      </c>
      <c r="K11" s="108">
        <f t="shared" si="0"/>
        <v>32.666666666666664</v>
      </c>
      <c r="M11" s="107">
        <f t="shared" si="4"/>
        <v>20.5</v>
      </c>
      <c r="N11" s="7">
        <f t="shared" si="4"/>
        <v>27</v>
      </c>
      <c r="O11" s="108">
        <f t="shared" si="4"/>
        <v>34</v>
      </c>
      <c r="Q11" s="34" t="s">
        <v>130</v>
      </c>
      <c r="R11" s="107">
        <f>T4</f>
        <v>10</v>
      </c>
      <c r="S11" s="7">
        <f>DEVSQ(B15:G15)*R11</f>
        <v>2418.4833333333331</v>
      </c>
      <c r="T11" s="7">
        <f>R4*S4-1</f>
        <v>5</v>
      </c>
      <c r="U11" s="108">
        <f t="shared" si="7"/>
        <v>483.6966666666666</v>
      </c>
      <c r="W11" s="16" t="s">
        <v>248</v>
      </c>
      <c r="X11" s="16">
        <f>S10</f>
        <v>1598.083333333333</v>
      </c>
      <c r="Y11" s="16">
        <f>T10</f>
        <v>9</v>
      </c>
      <c r="Z11" s="7">
        <f t="shared" si="5"/>
        <v>177.56481481481478</v>
      </c>
      <c r="AA11" s="16"/>
      <c r="AB11" s="16"/>
      <c r="AC11" s="16"/>
      <c r="AI11" t="s">
        <v>156</v>
      </c>
      <c r="AJ11" s="58" t="e">
        <f ca="1">AJ9/AJ10</f>
        <v>#NAME?</v>
      </c>
      <c r="AK11" s="7"/>
      <c r="AQ11" t="s">
        <v>156</v>
      </c>
      <c r="AR11" s="58" t="e">
        <f ca="1">AR9/AR10</f>
        <v>#NAME?</v>
      </c>
      <c r="AT11" s="19"/>
      <c r="AU11" s="19" t="s">
        <v>203</v>
      </c>
      <c r="AV11" s="19">
        <f>AV8</f>
        <v>220.35000000000036</v>
      </c>
      <c r="AW11" s="19">
        <f>AW8*$AJ$20</f>
        <v>9</v>
      </c>
      <c r="AX11" s="19">
        <f t="shared" si="2"/>
        <v>24.483333333333373</v>
      </c>
      <c r="AY11" s="19"/>
      <c r="AZ11" s="19"/>
      <c r="BA11" s="19"/>
    </row>
    <row r="12" spans="1:53" x14ac:dyDescent="0.25">
      <c r="A12" s="83">
        <f t="shared" si="6"/>
        <v>8</v>
      </c>
      <c r="B12" s="107">
        <v>18</v>
      </c>
      <c r="C12" s="7">
        <v>29</v>
      </c>
      <c r="D12" s="108">
        <v>36</v>
      </c>
      <c r="E12" s="107">
        <v>22</v>
      </c>
      <c r="F12" s="7">
        <v>36</v>
      </c>
      <c r="G12" s="108">
        <v>40</v>
      </c>
      <c r="H12">
        <f t="shared" si="3"/>
        <v>30.166666666666668</v>
      </c>
      <c r="J12" s="107">
        <f t="shared" si="0"/>
        <v>27.666666666666668</v>
      </c>
      <c r="K12" s="108">
        <f t="shared" si="0"/>
        <v>32.666666666666664</v>
      </c>
      <c r="M12" s="107">
        <f t="shared" si="4"/>
        <v>20</v>
      </c>
      <c r="N12" s="7">
        <f t="shared" si="4"/>
        <v>32.5</v>
      </c>
      <c r="O12" s="108">
        <f t="shared" si="4"/>
        <v>38</v>
      </c>
      <c r="Q12" s="41" t="s">
        <v>126</v>
      </c>
      <c r="R12" s="107"/>
      <c r="S12" s="7">
        <f>S11-S8-S9</f>
        <v>224.43333333333339</v>
      </c>
      <c r="T12" s="7">
        <f>T11-T8-T9</f>
        <v>2</v>
      </c>
      <c r="U12" s="108">
        <f t="shared" si="7"/>
        <v>112.2166666666667</v>
      </c>
      <c r="W12" s="16"/>
      <c r="X12" s="16"/>
      <c r="Y12" s="16"/>
      <c r="Z12" s="16"/>
      <c r="AA12" s="16"/>
      <c r="AB12" s="16"/>
      <c r="AC12" s="16"/>
      <c r="AT12" s="16" t="s">
        <v>245</v>
      </c>
      <c r="AU12" s="16" t="s">
        <v>241</v>
      </c>
      <c r="AV12">
        <f>X7</f>
        <v>1365.2333333333331</v>
      </c>
      <c r="AW12">
        <f>Y7</f>
        <v>2</v>
      </c>
      <c r="AX12" s="7">
        <f>AV12/AW12</f>
        <v>682.61666666666656</v>
      </c>
      <c r="AY12" s="16">
        <f>AX12/AX16</f>
        <v>26.959189643823574</v>
      </c>
      <c r="AZ12" t="e">
        <f ca="1">F_DIST_RT(AY12,AW12,AW16)</f>
        <v>#NAME?</v>
      </c>
      <c r="BA12">
        <f>FINV(0.05,AW12,AW16)</f>
        <v>3.5545571456617879</v>
      </c>
    </row>
    <row r="13" spans="1:53" ht="15.75" thickBot="1" x14ac:dyDescent="0.3">
      <c r="A13" s="83">
        <f t="shared" si="6"/>
        <v>9</v>
      </c>
      <c r="B13" s="107">
        <v>23</v>
      </c>
      <c r="C13" s="7">
        <v>30</v>
      </c>
      <c r="D13" s="108">
        <v>24</v>
      </c>
      <c r="E13" s="107">
        <v>18</v>
      </c>
      <c r="F13" s="7">
        <v>38</v>
      </c>
      <c r="G13" s="108">
        <v>32</v>
      </c>
      <c r="H13">
        <f t="shared" si="3"/>
        <v>27.5</v>
      </c>
      <c r="J13" s="107">
        <f t="shared" si="0"/>
        <v>25.666666666666668</v>
      </c>
      <c r="K13" s="108">
        <f t="shared" si="0"/>
        <v>29.333333333333332</v>
      </c>
      <c r="M13" s="107">
        <f t="shared" si="4"/>
        <v>20.5</v>
      </c>
      <c r="N13" s="7">
        <f t="shared" si="4"/>
        <v>34</v>
      </c>
      <c r="O13" s="108">
        <f t="shared" si="4"/>
        <v>28</v>
      </c>
      <c r="Q13" s="41" t="s">
        <v>131</v>
      </c>
      <c r="R13" s="107">
        <f>S4</f>
        <v>3</v>
      </c>
      <c r="S13" s="7">
        <f>DEVSQ(J5:K14)*R13</f>
        <v>2647.25</v>
      </c>
      <c r="T13" s="7">
        <f>R4*T4-1</f>
        <v>19</v>
      </c>
      <c r="U13" s="108">
        <f t="shared" si="7"/>
        <v>139.32894736842104</v>
      </c>
      <c r="W13" s="17" t="s">
        <v>1</v>
      </c>
      <c r="X13" s="17">
        <f>S7</f>
        <v>4852.5833333333312</v>
      </c>
      <c r="Y13" s="17">
        <f>T7</f>
        <v>59</v>
      </c>
      <c r="Z13" s="17">
        <f>X13/Y13</f>
        <v>82.247175141242906</v>
      </c>
      <c r="AA13" s="17"/>
      <c r="AB13" s="17"/>
      <c r="AC13" s="17"/>
      <c r="AI13" t="s">
        <v>148</v>
      </c>
      <c r="AJ13" s="105">
        <f>T4</f>
        <v>10</v>
      </c>
      <c r="AK13" s="7"/>
      <c r="AQ13" t="s">
        <v>148</v>
      </c>
      <c r="AR13" s="105">
        <f>T4</f>
        <v>10</v>
      </c>
      <c r="AU13" t="s">
        <v>242</v>
      </c>
      <c r="AV13">
        <f>AV12</f>
        <v>1365.2333333333331</v>
      </c>
      <c r="AW13" t="e">
        <f ca="1">AW12*AR11</f>
        <v>#NAME?</v>
      </c>
      <c r="AX13" s="7" t="e">
        <f ca="1">AV13/AW13</f>
        <v>#NAME?</v>
      </c>
      <c r="AY13" s="16" t="e">
        <f ca="1">AX13/AX17</f>
        <v>#NAME?</v>
      </c>
      <c r="AZ13" t="e">
        <f ca="1">F_DIST_RT(AY13,AW13,AW17)</f>
        <v>#NAME?</v>
      </c>
      <c r="BA13" t="e">
        <f ca="1">FINV(0.05,AW13,AW17)</f>
        <v>#NAME?</v>
      </c>
    </row>
    <row r="14" spans="1:53" x14ac:dyDescent="0.25">
      <c r="A14" s="83">
        <f t="shared" si="6"/>
        <v>10</v>
      </c>
      <c r="B14" s="52">
        <v>18</v>
      </c>
      <c r="C14" s="53">
        <v>12</v>
      </c>
      <c r="D14" s="56">
        <v>24</v>
      </c>
      <c r="E14" s="52">
        <v>24</v>
      </c>
      <c r="F14" s="53">
        <v>25</v>
      </c>
      <c r="G14" s="56">
        <v>34</v>
      </c>
      <c r="H14">
        <f t="shared" si="3"/>
        <v>22.833333333333332</v>
      </c>
      <c r="J14" s="52">
        <f t="shared" si="0"/>
        <v>18</v>
      </c>
      <c r="K14" s="56">
        <f t="shared" si="0"/>
        <v>27.666666666666668</v>
      </c>
      <c r="M14" s="52">
        <f t="shared" si="4"/>
        <v>21</v>
      </c>
      <c r="N14" s="53">
        <f t="shared" si="4"/>
        <v>18.5</v>
      </c>
      <c r="O14" s="56">
        <f t="shared" si="4"/>
        <v>29</v>
      </c>
      <c r="Q14" s="7" t="s">
        <v>127</v>
      </c>
      <c r="R14" s="107"/>
      <c r="S14" s="7">
        <f>S13-S8-S10</f>
        <v>220.35000000000036</v>
      </c>
      <c r="T14" s="7">
        <f>T13-T8-T10</f>
        <v>9</v>
      </c>
      <c r="U14" s="108">
        <f t="shared" si="7"/>
        <v>24.483333333333373</v>
      </c>
      <c r="AI14" t="s">
        <v>149</v>
      </c>
      <c r="AJ14" s="78">
        <f>AJ4</f>
        <v>2</v>
      </c>
      <c r="AK14" s="7"/>
      <c r="AQ14" t="s">
        <v>149</v>
      </c>
      <c r="AR14" s="78">
        <f>AR4</f>
        <v>3</v>
      </c>
      <c r="AU14" t="s">
        <v>244</v>
      </c>
      <c r="AV14">
        <f>AV12</f>
        <v>1365.2333333333331</v>
      </c>
      <c r="AW14" t="e">
        <f ca="1">AW12*AR18</f>
        <v>#NAME?</v>
      </c>
      <c r="AX14" s="7" t="e">
        <f ca="1">AV14/AW14</f>
        <v>#NAME?</v>
      </c>
      <c r="AY14" s="16" t="e">
        <f ca="1">AX14/AX18</f>
        <v>#NAME?</v>
      </c>
      <c r="AZ14" t="e">
        <f ca="1">F_DIST_RT(AY14,AW14,AW18)</f>
        <v>#NAME?</v>
      </c>
      <c r="BA14" t="e">
        <f ca="1">FINV(0.05,AW14,AW18)</f>
        <v>#NAME?</v>
      </c>
    </row>
    <row r="15" spans="1:53" x14ac:dyDescent="0.25">
      <c r="B15">
        <f t="shared" ref="B15:G15" si="8">AVERAGE(B5:B14)</f>
        <v>15.5</v>
      </c>
      <c r="C15">
        <f t="shared" si="8"/>
        <v>20.3</v>
      </c>
      <c r="D15">
        <f t="shared" si="8"/>
        <v>22.3</v>
      </c>
      <c r="E15">
        <f t="shared" si="8"/>
        <v>17.5</v>
      </c>
      <c r="F15">
        <f t="shared" si="8"/>
        <v>29.9</v>
      </c>
      <c r="G15">
        <f t="shared" si="8"/>
        <v>33</v>
      </c>
      <c r="H15">
        <f t="shared" si="3"/>
        <v>23.083333333333332</v>
      </c>
      <c r="J15">
        <f>AVERAGE(J5:J14)</f>
        <v>19.366666666666667</v>
      </c>
      <c r="K15">
        <f>AVERAGE(K5:K14)</f>
        <v>26.8</v>
      </c>
      <c r="M15">
        <f>AVERAGE(M5:M14)</f>
        <v>16.5</v>
      </c>
      <c r="N15">
        <f>AVERAGE(N5:N14)</f>
        <v>25.1</v>
      </c>
      <c r="O15">
        <f>AVERAGE(O5:O14)</f>
        <v>27.65</v>
      </c>
      <c r="Q15" s="41" t="s">
        <v>132</v>
      </c>
      <c r="R15" s="107">
        <f>R4</f>
        <v>2</v>
      </c>
      <c r="S15" s="7">
        <f>DEVSQ(M5:O14)*R15</f>
        <v>3419.083333333333</v>
      </c>
      <c r="T15" s="7">
        <f>S4*T4-1</f>
        <v>29</v>
      </c>
      <c r="U15" s="108">
        <f t="shared" si="7"/>
        <v>117.89942528735631</v>
      </c>
      <c r="AI15" t="s">
        <v>156</v>
      </c>
      <c r="AJ15" s="78" t="e">
        <f ca="1">AJ11</f>
        <v>#NAME?</v>
      </c>
      <c r="AK15" s="7"/>
      <c r="AQ15" t="s">
        <v>156</v>
      </c>
      <c r="AR15" s="78" t="e">
        <f ca="1">AR11</f>
        <v>#NAME?</v>
      </c>
      <c r="AT15" s="53"/>
      <c r="AU15" s="53" t="s">
        <v>203</v>
      </c>
      <c r="AV15" s="53">
        <f>AV12</f>
        <v>1365.2333333333331</v>
      </c>
      <c r="AW15" s="53">
        <f>AW12*AR20</f>
        <v>1</v>
      </c>
      <c r="AX15" s="53">
        <f>AV15/AW15</f>
        <v>1365.2333333333331</v>
      </c>
      <c r="AY15" s="53">
        <f>AX15/AX19</f>
        <v>26.959189643823574</v>
      </c>
      <c r="AZ15" s="317" t="e">
        <f ca="1">F_DIST_RT(AY15,AW15,AW19)</f>
        <v>#NAME?</v>
      </c>
      <c r="BA15" s="53">
        <f>FINV(0.05,AW15,AW19)</f>
        <v>5.1173550291992269</v>
      </c>
    </row>
    <row r="16" spans="1:53" x14ac:dyDescent="0.25">
      <c r="Q16" s="36" t="s">
        <v>128</v>
      </c>
      <c r="R16" s="107"/>
      <c r="S16" s="7">
        <f>S15-S9-S10</f>
        <v>455.76666666666688</v>
      </c>
      <c r="T16" s="7">
        <f>T15-T9-T10</f>
        <v>18</v>
      </c>
      <c r="U16" s="108">
        <f t="shared" si="7"/>
        <v>25.320370370370384</v>
      </c>
      <c r="AI16" t="s">
        <v>157</v>
      </c>
      <c r="AJ16" s="78" t="e">
        <f ca="1">AJ13*(AJ14-1)*AJ15-2</f>
        <v>#NAME?</v>
      </c>
      <c r="AK16" s="7"/>
      <c r="AQ16" t="s">
        <v>157</v>
      </c>
      <c r="AR16" s="78" t="e">
        <f ca="1">AR13*(AR14-1)*AR15-2</f>
        <v>#NAME?</v>
      </c>
      <c r="AT16" s="16" t="s">
        <v>246</v>
      </c>
      <c r="AU16" s="16" t="s">
        <v>241</v>
      </c>
      <c r="AV16">
        <f>X8</f>
        <v>455.76666666666688</v>
      </c>
      <c r="AW16">
        <f>Y8</f>
        <v>18</v>
      </c>
      <c r="AX16" s="7">
        <f>AV16/AW16</f>
        <v>25.320370370370384</v>
      </c>
      <c r="AY16" s="16"/>
      <c r="AZ16" s="16"/>
      <c r="BA16" s="16"/>
    </row>
    <row r="17" spans="17:53" x14ac:dyDescent="0.25">
      <c r="Q17" s="15" t="s">
        <v>129</v>
      </c>
      <c r="R17" s="52"/>
      <c r="S17" s="53">
        <f>S7-S8-S9-S10-S12-S14-S16</f>
        <v>159.89999999999782</v>
      </c>
      <c r="T17" s="53">
        <f>T7-T8-T9-T10-T12-T14-T16</f>
        <v>18</v>
      </c>
      <c r="U17" s="56">
        <f t="shared" si="7"/>
        <v>8.8833333333332121</v>
      </c>
      <c r="AI17" t="s">
        <v>158</v>
      </c>
      <c r="AJ17" s="78" t="e">
        <f ca="1">(AJ14-1)*(AJ13-1-(AJ14-1)*AJ15)</f>
        <v>#NAME?</v>
      </c>
      <c r="AK17" s="7"/>
      <c r="AQ17" t="s">
        <v>158</v>
      </c>
      <c r="AR17" s="78" t="e">
        <f ca="1">(AR14-1)*(AR13-1-(AR14-1)*AR15)</f>
        <v>#NAME?</v>
      </c>
      <c r="AU17" t="s">
        <v>242</v>
      </c>
      <c r="AV17">
        <f>AV16</f>
        <v>455.76666666666688</v>
      </c>
      <c r="AW17" t="e">
        <f ca="1">AW16*AR11</f>
        <v>#NAME?</v>
      </c>
      <c r="AX17" s="7" t="e">
        <f t="shared" ref="AX17:AX25" ca="1" si="9">AV17/AW17</f>
        <v>#NAME?</v>
      </c>
      <c r="AY17" s="16"/>
      <c r="AZ17" s="16"/>
      <c r="BA17" s="16"/>
    </row>
    <row r="18" spans="17:53" x14ac:dyDescent="0.25">
      <c r="AI18" t="s">
        <v>159</v>
      </c>
      <c r="AJ18" s="58" t="e">
        <f ca="1">MIN(AJ16/AJ17,1)</f>
        <v>#NAME?</v>
      </c>
      <c r="AK18" s="7"/>
      <c r="AQ18" t="s">
        <v>159</v>
      </c>
      <c r="AR18" s="58" t="e">
        <f ca="1">MIN(AR16/AR17,1)</f>
        <v>#NAME?</v>
      </c>
      <c r="AU18" t="s">
        <v>244</v>
      </c>
      <c r="AV18">
        <f>AV16</f>
        <v>455.76666666666688</v>
      </c>
      <c r="AW18" t="e">
        <f ca="1">AW16*AR18</f>
        <v>#NAME?</v>
      </c>
      <c r="AX18" s="7" t="e">
        <f t="shared" ca="1" si="9"/>
        <v>#NAME?</v>
      </c>
      <c r="AY18" s="16"/>
      <c r="AZ18" s="16"/>
      <c r="BA18" s="16"/>
    </row>
    <row r="19" spans="17:53" ht="15.75" thickBot="1" x14ac:dyDescent="0.3">
      <c r="AT19" s="19"/>
      <c r="AU19" s="19" t="s">
        <v>203</v>
      </c>
      <c r="AV19" s="19">
        <f>AV16</f>
        <v>455.76666666666688</v>
      </c>
      <c r="AW19" s="19">
        <f>AW16*AR20</f>
        <v>9</v>
      </c>
      <c r="AX19" s="19">
        <f t="shared" si="9"/>
        <v>50.640740740740767</v>
      </c>
      <c r="AY19" s="19"/>
      <c r="AZ19" s="19"/>
      <c r="BA19" s="19"/>
    </row>
    <row r="20" spans="17:53" x14ac:dyDescent="0.25">
      <c r="AI20" t="s">
        <v>203</v>
      </c>
      <c r="AJ20" s="106">
        <f>1/(AJ4-1)</f>
        <v>1</v>
      </c>
      <c r="AK20" s="7"/>
      <c r="AQ20" t="s">
        <v>203</v>
      </c>
      <c r="AR20" s="106">
        <f>1/(AR4-1)</f>
        <v>0.5</v>
      </c>
      <c r="AT20" s="16" t="s">
        <v>126</v>
      </c>
      <c r="AU20" s="16" t="s">
        <v>241</v>
      </c>
      <c r="AV20" s="16">
        <f>X9</f>
        <v>224.43333333333339</v>
      </c>
      <c r="AW20" s="16">
        <f>Y9</f>
        <v>2</v>
      </c>
      <c r="AX20" s="7">
        <f t="shared" si="9"/>
        <v>112.2166666666667</v>
      </c>
      <c r="AY20" s="16">
        <f>AX20/AX22</f>
        <v>12.63227016885571</v>
      </c>
      <c r="AZ20">
        <f>FDIST(AY20,AW20,AW22)</f>
        <v>3.7347686147367487E-4</v>
      </c>
      <c r="BA20">
        <f>FINV(0.05,AW20,AW22)</f>
        <v>3.5545571456617879</v>
      </c>
    </row>
    <row r="21" spans="17:53" x14ac:dyDescent="0.25">
      <c r="AT21" s="53"/>
      <c r="AU21" s="53" t="s">
        <v>203</v>
      </c>
      <c r="AV21" s="53">
        <f>AV20</f>
        <v>224.43333333333339</v>
      </c>
      <c r="AW21" s="53">
        <f>AW20*0.5</f>
        <v>1</v>
      </c>
      <c r="AX21" s="53">
        <f t="shared" si="9"/>
        <v>224.43333333333339</v>
      </c>
      <c r="AY21" s="53">
        <f>AX21/AX23</f>
        <v>12.63227016885571</v>
      </c>
      <c r="AZ21" s="53">
        <f>FDIST(AY21,AW21,AW23)</f>
        <v>6.1752137631104539E-3</v>
      </c>
      <c r="BA21" s="53">
        <f>FINV(0.05,AW21,AW23)</f>
        <v>5.1173550291992269</v>
      </c>
    </row>
    <row r="22" spans="17:53" x14ac:dyDescent="0.25">
      <c r="AT22" s="16" t="s">
        <v>249</v>
      </c>
      <c r="AU22" s="16" t="s">
        <v>241</v>
      </c>
      <c r="AV22" s="16">
        <f>X10</f>
        <v>159.89999999999782</v>
      </c>
      <c r="AW22" s="16">
        <f>Y10</f>
        <v>18</v>
      </c>
      <c r="AX22" s="7">
        <f t="shared" si="9"/>
        <v>8.8833333333332121</v>
      </c>
      <c r="AY22" s="16"/>
      <c r="AZ22" s="16"/>
      <c r="BA22" s="16"/>
    </row>
    <row r="23" spans="17:53" ht="15.75" thickBot="1" x14ac:dyDescent="0.3">
      <c r="AJ23" t="s">
        <v>250</v>
      </c>
      <c r="AT23" s="19"/>
      <c r="AU23" s="19" t="s">
        <v>203</v>
      </c>
      <c r="AV23" s="19">
        <f>AV22</f>
        <v>159.89999999999782</v>
      </c>
      <c r="AW23" s="19">
        <f>AW22*0.5</f>
        <v>9</v>
      </c>
      <c r="AX23" s="19">
        <f t="shared" si="9"/>
        <v>17.766666666666424</v>
      </c>
      <c r="AY23" s="19"/>
      <c r="AZ23" s="19"/>
      <c r="BA23" s="19"/>
    </row>
    <row r="24" spans="17:53" x14ac:dyDescent="0.25">
      <c r="AT24" t="s">
        <v>248</v>
      </c>
      <c r="AV24">
        <f>X11</f>
        <v>1598.083333333333</v>
      </c>
      <c r="AW24">
        <f>Y11</f>
        <v>9</v>
      </c>
      <c r="AX24">
        <f t="shared" si="9"/>
        <v>177.56481481481478</v>
      </c>
    </row>
    <row r="25" spans="17:53" ht="15.75" thickBot="1" x14ac:dyDescent="0.3">
      <c r="AJ25">
        <v>1</v>
      </c>
      <c r="AK25">
        <f>AJ25+1</f>
        <v>2</v>
      </c>
      <c r="AL25">
        <f>AK25+1</f>
        <v>3</v>
      </c>
      <c r="AM25">
        <f>AL25+1</f>
        <v>4</v>
      </c>
      <c r="AN25">
        <f>AM25+1</f>
        <v>5</v>
      </c>
      <c r="AO25">
        <f>AN25+1</f>
        <v>6</v>
      </c>
      <c r="AT25" s="19" t="s">
        <v>1</v>
      </c>
      <c r="AU25" s="19"/>
      <c r="AV25" s="19">
        <f>X13</f>
        <v>4852.5833333333312</v>
      </c>
      <c r="AW25" s="19">
        <f>Y13</f>
        <v>59</v>
      </c>
      <c r="AX25" s="19">
        <f t="shared" si="9"/>
        <v>82.247175141242906</v>
      </c>
      <c r="AY25" s="19"/>
      <c r="AZ25" s="19"/>
      <c r="BA25" s="19"/>
    </row>
    <row r="26" spans="17:53" x14ac:dyDescent="0.25">
      <c r="AJ26" s="102" t="e">
        <f t="array" aca="1" ref="AJ26:AO31" ca="1">COV(B5:G14)</f>
        <v>#NAME?</v>
      </c>
      <c r="AK26" s="103" t="e">
        <f ca="1"/>
        <v>#NAME?</v>
      </c>
      <c r="AL26" s="103" t="e">
        <f ca="1"/>
        <v>#NAME?</v>
      </c>
      <c r="AM26" s="103" t="e">
        <f ca="1"/>
        <v>#NAME?</v>
      </c>
      <c r="AN26" s="103" t="e">
        <f ca="1"/>
        <v>#NAME?</v>
      </c>
      <c r="AO26" s="104" t="e">
        <f ca="1"/>
        <v>#NAME?</v>
      </c>
      <c r="AP26" t="e">
        <f ca="1">AVERAGE(AJ26:AO26)</f>
        <v>#NAME?</v>
      </c>
    </row>
    <row r="27" spans="17:53" x14ac:dyDescent="0.25">
      <c r="AJ27" s="107" t="e">
        <f ca="1"/>
        <v>#NAME?</v>
      </c>
      <c r="AK27" s="7" t="e">
        <f ca="1"/>
        <v>#NAME?</v>
      </c>
      <c r="AL27" s="7" t="e">
        <f ca="1"/>
        <v>#NAME?</v>
      </c>
      <c r="AM27" s="7" t="e">
        <f ca="1"/>
        <v>#NAME?</v>
      </c>
      <c r="AN27" s="7" t="e">
        <f ca="1"/>
        <v>#NAME?</v>
      </c>
      <c r="AO27" s="108" t="e">
        <f ca="1"/>
        <v>#NAME?</v>
      </c>
      <c r="AP27" t="e">
        <f t="shared" ref="AP27:AP32" ca="1" si="10">AVERAGE(AJ27:AO27)</f>
        <v>#NAME?</v>
      </c>
    </row>
    <row r="28" spans="17:53" x14ac:dyDescent="0.25">
      <c r="AJ28" s="107" t="e">
        <f ca="1"/>
        <v>#NAME?</v>
      </c>
      <c r="AK28" s="7" t="e">
        <f ca="1"/>
        <v>#NAME?</v>
      </c>
      <c r="AL28" s="7" t="e">
        <f ca="1"/>
        <v>#NAME?</v>
      </c>
      <c r="AM28" s="7" t="e">
        <f ca="1"/>
        <v>#NAME?</v>
      </c>
      <c r="AN28" s="7" t="e">
        <f ca="1"/>
        <v>#NAME?</v>
      </c>
      <c r="AO28" s="108" t="e">
        <f ca="1"/>
        <v>#NAME?</v>
      </c>
      <c r="AP28" t="e">
        <f t="shared" ca="1" si="10"/>
        <v>#NAME?</v>
      </c>
    </row>
    <row r="29" spans="17:53" x14ac:dyDescent="0.25">
      <c r="AJ29" s="107" t="e">
        <f ca="1"/>
        <v>#NAME?</v>
      </c>
      <c r="AK29" s="7" t="e">
        <f ca="1"/>
        <v>#NAME?</v>
      </c>
      <c r="AL29" s="7" t="e">
        <f ca="1"/>
        <v>#NAME?</v>
      </c>
      <c r="AM29" s="7" t="e">
        <f ca="1"/>
        <v>#NAME?</v>
      </c>
      <c r="AN29" s="7" t="e">
        <f ca="1"/>
        <v>#NAME?</v>
      </c>
      <c r="AO29" s="108" t="e">
        <f ca="1"/>
        <v>#NAME?</v>
      </c>
      <c r="AP29" t="e">
        <f t="shared" ca="1" si="10"/>
        <v>#NAME?</v>
      </c>
    </row>
    <row r="30" spans="17:53" x14ac:dyDescent="0.25">
      <c r="AJ30" s="107" t="e">
        <f ca="1"/>
        <v>#NAME?</v>
      </c>
      <c r="AK30" s="7" t="e">
        <f ca="1"/>
        <v>#NAME?</v>
      </c>
      <c r="AL30" s="7" t="e">
        <f ca="1"/>
        <v>#NAME?</v>
      </c>
      <c r="AM30" s="7" t="e">
        <f ca="1"/>
        <v>#NAME?</v>
      </c>
      <c r="AN30" s="7" t="e">
        <f ca="1"/>
        <v>#NAME?</v>
      </c>
      <c r="AO30" s="108" t="e">
        <f ca="1"/>
        <v>#NAME?</v>
      </c>
      <c r="AP30" t="e">
        <f t="shared" ca="1" si="10"/>
        <v>#NAME?</v>
      </c>
    </row>
    <row r="31" spans="17:53" x14ac:dyDescent="0.25">
      <c r="AJ31" s="52" t="e">
        <f ca="1"/>
        <v>#NAME?</v>
      </c>
      <c r="AK31" s="53" t="e">
        <f ca="1"/>
        <v>#NAME?</v>
      </c>
      <c r="AL31" s="53" t="e">
        <f ca="1"/>
        <v>#NAME?</v>
      </c>
      <c r="AM31" s="53" t="e">
        <f ca="1"/>
        <v>#NAME?</v>
      </c>
      <c r="AN31" s="53" t="e">
        <f ca="1"/>
        <v>#NAME?</v>
      </c>
      <c r="AO31" s="56" t="e">
        <f ca="1"/>
        <v>#NAME?</v>
      </c>
      <c r="AP31" t="e">
        <f t="shared" ca="1" si="10"/>
        <v>#NAME?</v>
      </c>
    </row>
    <row r="32" spans="17:53" x14ac:dyDescent="0.25">
      <c r="AJ32" t="e">
        <f t="shared" ref="AJ32:AO32" ca="1" si="11">AVERAGE(AJ26:AJ31)</f>
        <v>#NAME?</v>
      </c>
      <c r="AK32" t="e">
        <f t="shared" ca="1" si="11"/>
        <v>#NAME?</v>
      </c>
      <c r="AL32" t="e">
        <f t="shared" ca="1" si="11"/>
        <v>#NAME?</v>
      </c>
      <c r="AM32" t="e">
        <f t="shared" ca="1" si="11"/>
        <v>#NAME?</v>
      </c>
      <c r="AN32" t="e">
        <f t="shared" ca="1" si="11"/>
        <v>#NAME?</v>
      </c>
      <c r="AO32" t="e">
        <f t="shared" ca="1" si="11"/>
        <v>#NAME?</v>
      </c>
      <c r="AP32" t="e">
        <f t="shared" ca="1" si="10"/>
        <v>#NAME?</v>
      </c>
    </row>
    <row r="35" spans="36:44" x14ac:dyDescent="0.25">
      <c r="AJ35" s="102" t="e">
        <f t="shared" ref="AJ35:AO35" ca="1" si="12">AJ26-$AP26-AJ$32+$AP$32</f>
        <v>#NAME?</v>
      </c>
      <c r="AK35" s="103" t="e">
        <f t="shared" ca="1" si="12"/>
        <v>#NAME?</v>
      </c>
      <c r="AL35" s="103" t="e">
        <f t="shared" ca="1" si="12"/>
        <v>#NAME?</v>
      </c>
      <c r="AM35" s="103" t="e">
        <f t="shared" ca="1" si="12"/>
        <v>#NAME?</v>
      </c>
      <c r="AN35" s="103" t="e">
        <f t="shared" ca="1" si="12"/>
        <v>#NAME?</v>
      </c>
      <c r="AO35" s="104" t="e">
        <f t="shared" ca="1" si="12"/>
        <v>#NAME?</v>
      </c>
      <c r="AQ35" t="s">
        <v>251</v>
      </c>
      <c r="AR35">
        <f>R4</f>
        <v>2</v>
      </c>
    </row>
    <row r="36" spans="36:44" x14ac:dyDescent="0.25">
      <c r="AJ36" s="107" t="e">
        <f t="shared" ref="AJ36:AO40" ca="1" si="13">AJ27-$AP27-AJ$32+$AP$32</f>
        <v>#NAME?</v>
      </c>
      <c r="AK36" s="7" t="e">
        <f t="shared" ca="1" si="13"/>
        <v>#NAME?</v>
      </c>
      <c r="AL36" s="7" t="e">
        <f t="shared" ca="1" si="13"/>
        <v>#NAME?</v>
      </c>
      <c r="AM36" s="7" t="e">
        <f t="shared" ca="1" si="13"/>
        <v>#NAME?</v>
      </c>
      <c r="AN36" s="7" t="e">
        <f t="shared" ca="1" si="13"/>
        <v>#NAME?</v>
      </c>
      <c r="AO36" s="108" t="e">
        <f t="shared" ca="1" si="13"/>
        <v>#NAME?</v>
      </c>
      <c r="AQ36" t="s">
        <v>252</v>
      </c>
      <c r="AR36">
        <f>S4</f>
        <v>3</v>
      </c>
    </row>
    <row r="37" spans="36:44" x14ac:dyDescent="0.25">
      <c r="AJ37" s="107" t="e">
        <f t="shared" ca="1" si="13"/>
        <v>#NAME?</v>
      </c>
      <c r="AK37" s="7" t="e">
        <f t="shared" ca="1" si="13"/>
        <v>#NAME?</v>
      </c>
      <c r="AL37" s="7" t="e">
        <f t="shared" ca="1" si="13"/>
        <v>#NAME?</v>
      </c>
      <c r="AM37" s="7" t="e">
        <f t="shared" ca="1" si="13"/>
        <v>#NAME?</v>
      </c>
      <c r="AN37" s="7" t="e">
        <f t="shared" ca="1" si="13"/>
        <v>#NAME?</v>
      </c>
      <c r="AO37" s="108" t="e">
        <f t="shared" ca="1" si="13"/>
        <v>#NAME?</v>
      </c>
      <c r="AQ37" t="s">
        <v>253</v>
      </c>
      <c r="AR37" t="e">
        <f ca="1">SUM(AJ42:AN42)^2</f>
        <v>#NAME?</v>
      </c>
    </row>
    <row r="38" spans="36:44" x14ac:dyDescent="0.25">
      <c r="AJ38" s="107" t="e">
        <f t="shared" ca="1" si="13"/>
        <v>#NAME?</v>
      </c>
      <c r="AK38" s="7" t="e">
        <f t="shared" ca="1" si="13"/>
        <v>#NAME?</v>
      </c>
      <c r="AL38" s="7" t="e">
        <f t="shared" ca="1" si="13"/>
        <v>#NAME?</v>
      </c>
      <c r="AM38" s="7" t="e">
        <f t="shared" ca="1" si="13"/>
        <v>#NAME?</v>
      </c>
      <c r="AN38" s="7" t="e">
        <f t="shared" ca="1" si="13"/>
        <v>#NAME?</v>
      </c>
      <c r="AO38" s="108" t="e">
        <f t="shared" ca="1" si="13"/>
        <v>#NAME?</v>
      </c>
      <c r="AQ38" t="s">
        <v>254</v>
      </c>
      <c r="AR38" t="e">
        <f ca="1">SUMSQ(AJ42:AN42)*(AR35-1)*(AR36-1)</f>
        <v>#NAME?</v>
      </c>
    </row>
    <row r="39" spans="36:44" x14ac:dyDescent="0.25">
      <c r="AJ39" s="107" t="e">
        <f t="shared" ca="1" si="13"/>
        <v>#NAME?</v>
      </c>
      <c r="AK39" s="7" t="e">
        <f t="shared" ca="1" si="13"/>
        <v>#NAME?</v>
      </c>
      <c r="AL39" s="7" t="e">
        <f t="shared" ca="1" si="13"/>
        <v>#NAME?</v>
      </c>
      <c r="AM39" s="7" t="e">
        <f t="shared" ca="1" si="13"/>
        <v>#NAME?</v>
      </c>
      <c r="AN39" s="7" t="e">
        <f t="shared" ca="1" si="13"/>
        <v>#NAME?</v>
      </c>
      <c r="AO39" s="108" t="e">
        <f t="shared" ca="1" si="13"/>
        <v>#NAME?</v>
      </c>
      <c r="AQ39" t="s">
        <v>156</v>
      </c>
      <c r="AR39" t="e">
        <f ca="1">AR37/AR38</f>
        <v>#NAME?</v>
      </c>
    </row>
    <row r="40" spans="36:44" x14ac:dyDescent="0.25">
      <c r="AJ40" s="52" t="e">
        <f t="shared" ca="1" si="13"/>
        <v>#NAME?</v>
      </c>
      <c r="AK40" s="53" t="e">
        <f t="shared" ca="1" si="13"/>
        <v>#NAME?</v>
      </c>
      <c r="AL40" s="53" t="e">
        <f t="shared" ca="1" si="13"/>
        <v>#NAME?</v>
      </c>
      <c r="AM40" s="53" t="e">
        <f t="shared" ca="1" si="13"/>
        <v>#NAME?</v>
      </c>
      <c r="AN40" s="53" t="e">
        <f t="shared" ca="1" si="13"/>
        <v>#NAME?</v>
      </c>
      <c r="AO40" s="56" t="e">
        <f t="shared" ca="1" si="13"/>
        <v>#NAME?</v>
      </c>
    </row>
    <row r="42" spans="36:44" x14ac:dyDescent="0.25">
      <c r="AJ42" s="109" t="e">
        <f t="array" aca="1" ref="AJ42:AN42" ca="1">eVALUES(AJ35:AO40)</f>
        <v>#NAME?</v>
      </c>
      <c r="AK42" s="110" t="e">
        <f ca="1"/>
        <v>#NAME?</v>
      </c>
      <c r="AL42" s="110" t="e">
        <f ca="1"/>
        <v>#NAME?</v>
      </c>
      <c r="AM42" s="110" t="e">
        <f ca="1"/>
        <v>#NAME?</v>
      </c>
      <c r="AN42" s="111" t="e">
        <f ca="1"/>
        <v>#NAME?</v>
      </c>
    </row>
  </sheetData>
  <mergeCells count="1">
    <mergeCell ref="AT3:AU3"/>
  </mergeCells>
  <pageMargins left="0.7" right="0.7" top="0.75" bottom="0.75" header="0.3" footer="0.3"/>
  <ignoredErrors>
    <ignoredError sqref="H5" formulaRange="1"/>
    <ignoredError sqref="AV22:AW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1"/>
  <dimension ref="A1:AH50"/>
  <sheetViews>
    <sheetView zoomScaleNormal="100" workbookViewId="0"/>
  </sheetViews>
  <sheetFormatPr defaultRowHeight="15" x14ac:dyDescent="0.25"/>
  <cols>
    <col min="6" max="6" width="9.140625" customWidth="1"/>
  </cols>
  <sheetData>
    <row r="1" spans="1:34" x14ac:dyDescent="0.25">
      <c r="A1" s="1" t="s">
        <v>620</v>
      </c>
    </row>
    <row r="3" spans="1:34" x14ac:dyDescent="0.25">
      <c r="B3" s="227" t="s">
        <v>576</v>
      </c>
      <c r="C3" s="227" t="s">
        <v>577</v>
      </c>
      <c r="D3" s="227" t="s">
        <v>578</v>
      </c>
      <c r="E3" s="227" t="s">
        <v>579</v>
      </c>
      <c r="G3" t="s">
        <v>12</v>
      </c>
      <c r="N3" t="s">
        <v>505</v>
      </c>
      <c r="V3" s="471" t="s">
        <v>576</v>
      </c>
      <c r="W3" s="472"/>
      <c r="X3" s="472"/>
      <c r="Y3" s="471" t="s">
        <v>577</v>
      </c>
      <c r="Z3" s="472"/>
      <c r="AA3" s="473"/>
      <c r="AB3" s="472" t="s">
        <v>578</v>
      </c>
      <c r="AC3" s="472"/>
      <c r="AD3" s="473"/>
      <c r="AE3" s="472" t="s">
        <v>579</v>
      </c>
      <c r="AF3" s="472"/>
      <c r="AG3" s="473"/>
      <c r="AH3" s="222"/>
    </row>
    <row r="4" spans="1:34" x14ac:dyDescent="0.25">
      <c r="A4" s="216" t="s">
        <v>586</v>
      </c>
      <c r="B4" s="216">
        <v>34</v>
      </c>
      <c r="C4" s="216">
        <v>46</v>
      </c>
      <c r="D4" s="216">
        <v>23</v>
      </c>
      <c r="E4" s="216">
        <v>50</v>
      </c>
      <c r="V4" s="149" t="s">
        <v>586</v>
      </c>
      <c r="W4" s="220" t="s">
        <v>587</v>
      </c>
      <c r="X4" s="174" t="s">
        <v>585</v>
      </c>
      <c r="Y4" s="149" t="s">
        <v>586</v>
      </c>
      <c r="Z4" s="220" t="s">
        <v>587</v>
      </c>
      <c r="AA4" s="174" t="s">
        <v>585</v>
      </c>
      <c r="AB4" s="149" t="s">
        <v>586</v>
      </c>
      <c r="AC4" s="220" t="s">
        <v>587</v>
      </c>
      <c r="AD4" s="174" t="s">
        <v>585</v>
      </c>
      <c r="AE4" s="149" t="s">
        <v>586</v>
      </c>
      <c r="AF4" s="220" t="s">
        <v>587</v>
      </c>
      <c r="AG4" s="174" t="s">
        <v>585</v>
      </c>
      <c r="AH4" s="222"/>
    </row>
    <row r="5" spans="1:34" ht="15.75" thickBot="1" x14ac:dyDescent="0.3">
      <c r="A5" s="173"/>
      <c r="B5" s="173">
        <v>56</v>
      </c>
      <c r="C5" s="173">
        <v>19</v>
      </c>
      <c r="D5" s="173">
        <v>32</v>
      </c>
      <c r="E5" s="173">
        <v>72</v>
      </c>
      <c r="G5" t="s">
        <v>502</v>
      </c>
      <c r="H5" t="str">
        <f>IF(COUNTIF(H7:K9,H7)=COUNT(H7:K9),"balanced","unbalanced")</f>
        <v>balanced</v>
      </c>
      <c r="N5" t="s">
        <v>84</v>
      </c>
      <c r="R5" s="219" t="s">
        <v>17</v>
      </c>
      <c r="S5" s="219">
        <v>0.05</v>
      </c>
      <c r="V5" s="207">
        <v>34</v>
      </c>
      <c r="W5" s="205">
        <v>45</v>
      </c>
      <c r="X5" s="208">
        <v>40</v>
      </c>
      <c r="Y5" s="207">
        <v>46</v>
      </c>
      <c r="Z5" s="205">
        <v>23</v>
      </c>
      <c r="AA5" s="205">
        <v>75</v>
      </c>
      <c r="AB5" s="207">
        <v>23</v>
      </c>
      <c r="AC5" s="205">
        <v>75</v>
      </c>
      <c r="AD5" s="208">
        <v>55</v>
      </c>
      <c r="AE5" s="207">
        <v>48</v>
      </c>
      <c r="AF5" s="226">
        <v>73</v>
      </c>
      <c r="AG5" s="208">
        <v>53</v>
      </c>
      <c r="AH5" s="7"/>
    </row>
    <row r="6" spans="1:34" ht="15.75" thickTop="1" x14ac:dyDescent="0.25">
      <c r="A6" s="173"/>
      <c r="B6" s="173">
        <v>78</v>
      </c>
      <c r="C6" s="173">
        <v>56</v>
      </c>
      <c r="D6" s="173">
        <v>42</v>
      </c>
      <c r="E6" s="173">
        <v>30</v>
      </c>
      <c r="H6" s="219" t="str">
        <f>B3</f>
        <v>Office 1</v>
      </c>
      <c r="I6" s="219" t="str">
        <f>C3</f>
        <v>Office 2</v>
      </c>
      <c r="J6" s="219" t="str">
        <f>D3</f>
        <v>Office 3</v>
      </c>
      <c r="K6" s="219" t="str">
        <f>E3</f>
        <v>Office 4</v>
      </c>
      <c r="N6" s="191"/>
      <c r="O6" s="191" t="s">
        <v>76</v>
      </c>
      <c r="P6" s="191" t="s">
        <v>37</v>
      </c>
      <c r="Q6" s="191" t="s">
        <v>78</v>
      </c>
      <c r="R6" s="191" t="s">
        <v>68</v>
      </c>
      <c r="S6" s="191" t="s">
        <v>43</v>
      </c>
      <c r="T6" s="191" t="s">
        <v>111</v>
      </c>
      <c r="V6" s="107">
        <v>56</v>
      </c>
      <c r="W6" s="7">
        <v>76</v>
      </c>
      <c r="X6" s="108">
        <v>39</v>
      </c>
      <c r="Y6" s="107">
        <v>32</v>
      </c>
      <c r="Z6" s="23">
        <v>56</v>
      </c>
      <c r="AA6" s="7">
        <v>57</v>
      </c>
      <c r="AB6" s="131">
        <v>56</v>
      </c>
      <c r="AC6" s="7">
        <v>57</v>
      </c>
      <c r="AD6" s="108">
        <v>73</v>
      </c>
      <c r="AE6" s="107">
        <v>72</v>
      </c>
      <c r="AF6" s="23">
        <v>68</v>
      </c>
      <c r="AG6" s="108">
        <v>51</v>
      </c>
      <c r="AH6" s="7"/>
    </row>
    <row r="7" spans="1:34" x14ac:dyDescent="0.25">
      <c r="A7" s="173"/>
      <c r="B7" s="173">
        <v>40</v>
      </c>
      <c r="C7" s="173">
        <v>52</v>
      </c>
      <c r="D7" s="173">
        <v>34</v>
      </c>
      <c r="E7" s="173">
        <v>52</v>
      </c>
      <c r="G7" t="str">
        <f>A4</f>
        <v>Conflict</v>
      </c>
      <c r="H7" s="203">
        <f>COUNT(B4:B8)</f>
        <v>5</v>
      </c>
      <c r="I7" s="187">
        <f>COUNT(C4:C8)</f>
        <v>5</v>
      </c>
      <c r="J7" s="187">
        <f>COUNT(D4:D8)</f>
        <v>5</v>
      </c>
      <c r="K7" s="204">
        <f>COUNT(E4:E8)</f>
        <v>5</v>
      </c>
      <c r="L7">
        <f>COUNT(B4:E8)</f>
        <v>20</v>
      </c>
      <c r="N7" t="s">
        <v>69</v>
      </c>
      <c r="O7">
        <f>DEVSQ(L14:L16)*L7</f>
        <v>1691.7333333333327</v>
      </c>
      <c r="P7">
        <f>COUNT(L14:L16)-1</f>
        <v>2</v>
      </c>
      <c r="Q7">
        <f>O7/P7</f>
        <v>845.86666666666633</v>
      </c>
      <c r="R7">
        <f>Q7/Q10</f>
        <v>4.0041025641025625</v>
      </c>
      <c r="S7">
        <f>FDIST(R7,P7,P10)</f>
        <v>2.4646200167940314E-2</v>
      </c>
      <c r="T7" s="219" t="str">
        <f>IF(S7&lt;S5,"yes","no")</f>
        <v>yes</v>
      </c>
      <c r="V7" s="107">
        <v>78</v>
      </c>
      <c r="W7" s="7">
        <v>65</v>
      </c>
      <c r="X7" s="108">
        <v>78</v>
      </c>
      <c r="Y7" s="107">
        <v>56</v>
      </c>
      <c r="Z7" s="23">
        <v>61</v>
      </c>
      <c r="AA7" s="7">
        <v>63</v>
      </c>
      <c r="AB7" s="131">
        <v>61</v>
      </c>
      <c r="AC7" s="7">
        <v>63</v>
      </c>
      <c r="AD7" s="108">
        <v>69</v>
      </c>
      <c r="AE7" s="107">
        <v>51</v>
      </c>
      <c r="AF7" s="23">
        <v>71</v>
      </c>
      <c r="AG7" s="108">
        <v>32</v>
      </c>
      <c r="AH7" s="7"/>
    </row>
    <row r="8" spans="1:34" x14ac:dyDescent="0.25">
      <c r="A8" s="180"/>
      <c r="B8" s="180">
        <v>61</v>
      </c>
      <c r="C8" s="180">
        <v>42</v>
      </c>
      <c r="D8" s="180">
        <v>28</v>
      </c>
      <c r="E8" s="180">
        <v>43</v>
      </c>
      <c r="G8" t="str">
        <f>A9</f>
        <v>Psychol</v>
      </c>
      <c r="H8" s="76">
        <f>COUNT(B9:B13)</f>
        <v>5</v>
      </c>
      <c r="I8" s="7">
        <f>COUNT(C9:C13)</f>
        <v>5</v>
      </c>
      <c r="J8" s="7">
        <f>COUNT(D9:D13)</f>
        <v>5</v>
      </c>
      <c r="K8" s="35">
        <f>COUNT(E9:E13)</f>
        <v>5</v>
      </c>
      <c r="L8">
        <f>COUNT(B9:E13)</f>
        <v>20</v>
      </c>
      <c r="N8" t="s">
        <v>123</v>
      </c>
      <c r="O8">
        <f>DEVSQ(H17:K17)*H10</f>
        <v>609.79999999999973</v>
      </c>
      <c r="P8">
        <f>COUNT(H17:K17)-1</f>
        <v>3</v>
      </c>
      <c r="Q8">
        <f>O8/P8</f>
        <v>203.26666666666657</v>
      </c>
      <c r="R8">
        <f>Q8/Q10</f>
        <v>0.96220907297830327</v>
      </c>
      <c r="S8">
        <f>FDIST(R8,P8,P10)</f>
        <v>0.41826475115765016</v>
      </c>
      <c r="T8" s="219" t="str">
        <f>IF(S8&lt;S5,"yes","no")</f>
        <v>no</v>
      </c>
      <c r="V8" s="107">
        <v>67</v>
      </c>
      <c r="W8" s="23">
        <v>52</v>
      </c>
      <c r="X8" s="108">
        <v>24</v>
      </c>
      <c r="Y8" s="107">
        <v>52</v>
      </c>
      <c r="Z8" s="23">
        <v>34</v>
      </c>
      <c r="AA8" s="7">
        <v>25</v>
      </c>
      <c r="AB8" s="131">
        <v>34</v>
      </c>
      <c r="AC8" s="7">
        <v>25</v>
      </c>
      <c r="AD8" s="108">
        <v>64</v>
      </c>
      <c r="AE8" s="107">
        <v>52</v>
      </c>
      <c r="AF8" s="23">
        <v>59</v>
      </c>
      <c r="AG8" s="108">
        <v>41</v>
      </c>
      <c r="AH8" s="7"/>
    </row>
    <row r="9" spans="1:34" x14ac:dyDescent="0.25">
      <c r="A9" s="216" t="s">
        <v>587</v>
      </c>
      <c r="B9" s="216">
        <v>45</v>
      </c>
      <c r="C9" s="216">
        <v>23</v>
      </c>
      <c r="D9" s="216">
        <v>75</v>
      </c>
      <c r="E9" s="216">
        <v>73</v>
      </c>
      <c r="G9" t="str">
        <f>A14</f>
        <v>Negot</v>
      </c>
      <c r="H9" s="182">
        <f>COUNT(B14:B18)</f>
        <v>5</v>
      </c>
      <c r="I9" s="183">
        <f>COUNT(C14:C18)</f>
        <v>5</v>
      </c>
      <c r="J9" s="183">
        <f>COUNT(D14:D18)</f>
        <v>5</v>
      </c>
      <c r="K9" s="184">
        <f>COUNT(E14:E18)</f>
        <v>5</v>
      </c>
      <c r="L9">
        <f>COUNT(B14:E18)</f>
        <v>20</v>
      </c>
      <c r="N9" t="s">
        <v>432</v>
      </c>
      <c r="O9">
        <f>O11-O7-O8-O10</f>
        <v>4155.2000000000044</v>
      </c>
      <c r="P9">
        <f>P8*P7</f>
        <v>6</v>
      </c>
      <c r="Q9">
        <f>O9/P9</f>
        <v>692.5333333333341</v>
      </c>
      <c r="R9">
        <f>Q9/Q10</f>
        <v>3.2782642998027649</v>
      </c>
      <c r="S9">
        <f>FDIST(R9,P9,P10)</f>
        <v>8.7718106561581848E-3</v>
      </c>
      <c r="T9" s="219" t="str">
        <f>IF(S9&lt;S5,"yes","no")</f>
        <v>yes</v>
      </c>
      <c r="V9" s="52">
        <v>61</v>
      </c>
      <c r="W9" s="195">
        <v>23</v>
      </c>
      <c r="X9" s="56">
        <v>59</v>
      </c>
      <c r="Y9" s="52">
        <v>79</v>
      </c>
      <c r="Z9" s="195">
        <v>28</v>
      </c>
      <c r="AA9" s="185">
        <v>60</v>
      </c>
      <c r="AB9" s="133">
        <v>28</v>
      </c>
      <c r="AC9" s="185">
        <v>60</v>
      </c>
      <c r="AD9" s="56">
        <v>59</v>
      </c>
      <c r="AE9" s="52">
        <v>43</v>
      </c>
      <c r="AF9" s="185">
        <v>80</v>
      </c>
      <c r="AG9" s="56">
        <v>45</v>
      </c>
      <c r="AH9" s="7"/>
    </row>
    <row r="10" spans="1:34" x14ac:dyDescent="0.25">
      <c r="A10" s="173"/>
      <c r="B10" s="173">
        <v>40</v>
      </c>
      <c r="C10" s="173">
        <v>56</v>
      </c>
      <c r="D10" s="173">
        <v>57</v>
      </c>
      <c r="E10" s="173">
        <v>68</v>
      </c>
      <c r="H10">
        <f>COUNT(B4:B18)</f>
        <v>15</v>
      </c>
      <c r="I10">
        <f>COUNT(C4:C18)</f>
        <v>15</v>
      </c>
      <c r="J10">
        <f>COUNT(D4:D18)</f>
        <v>15</v>
      </c>
      <c r="K10">
        <f>COUNT(E4:E18)</f>
        <v>15</v>
      </c>
      <c r="L10">
        <f>COUNT(B4:E18)</f>
        <v>60</v>
      </c>
      <c r="N10" t="s">
        <v>124</v>
      </c>
      <c r="O10">
        <f>SUM(H21:K23)*(H7-1)</f>
        <v>10140</v>
      </c>
      <c r="P10">
        <f>P11-P7-P8-P9</f>
        <v>48</v>
      </c>
      <c r="Q10">
        <f>O10/P10</f>
        <v>211.25</v>
      </c>
      <c r="V10">
        <f t="shared" ref="V10:AG10" si="0">AVERAGE(V5:V9)</f>
        <v>59.2</v>
      </c>
      <c r="W10">
        <f t="shared" si="0"/>
        <v>52.2</v>
      </c>
      <c r="X10">
        <f t="shared" si="0"/>
        <v>48</v>
      </c>
      <c r="Y10">
        <f t="shared" si="0"/>
        <v>53</v>
      </c>
      <c r="Z10">
        <f t="shared" si="0"/>
        <v>40.4</v>
      </c>
      <c r="AA10">
        <f t="shared" si="0"/>
        <v>56</v>
      </c>
      <c r="AB10">
        <f t="shared" si="0"/>
        <v>40.4</v>
      </c>
      <c r="AC10">
        <f t="shared" si="0"/>
        <v>56</v>
      </c>
      <c r="AD10">
        <f t="shared" si="0"/>
        <v>64</v>
      </c>
      <c r="AE10">
        <f t="shared" si="0"/>
        <v>53.2</v>
      </c>
      <c r="AF10">
        <f t="shared" si="0"/>
        <v>70.2</v>
      </c>
      <c r="AG10">
        <f t="shared" si="0"/>
        <v>44.4</v>
      </c>
    </row>
    <row r="11" spans="1:34" x14ac:dyDescent="0.25">
      <c r="A11" s="173"/>
      <c r="B11" s="173">
        <v>65</v>
      </c>
      <c r="C11" s="173">
        <v>61</v>
      </c>
      <c r="D11" s="173">
        <v>63</v>
      </c>
      <c r="E11" s="173">
        <v>71</v>
      </c>
      <c r="N11" s="185" t="s">
        <v>1</v>
      </c>
      <c r="O11" s="185">
        <f>Q11*P11</f>
        <v>16596.733333333337</v>
      </c>
      <c r="P11" s="185">
        <f>L10-1</f>
        <v>59</v>
      </c>
      <c r="Q11" s="185">
        <f>L24</f>
        <v>281.3005649717515</v>
      </c>
      <c r="R11" s="185"/>
      <c r="S11" s="185"/>
      <c r="T11" s="185"/>
    </row>
    <row r="12" spans="1:34" x14ac:dyDescent="0.25">
      <c r="A12" s="173"/>
      <c r="B12" s="173">
        <v>52</v>
      </c>
      <c r="C12" s="173">
        <v>34</v>
      </c>
      <c r="D12" s="173">
        <v>25</v>
      </c>
      <c r="E12" s="173">
        <v>59</v>
      </c>
      <c r="G12" t="s">
        <v>125</v>
      </c>
    </row>
    <row r="13" spans="1:34" x14ac:dyDescent="0.25">
      <c r="A13" s="180"/>
      <c r="B13" s="180">
        <v>23</v>
      </c>
      <c r="C13" s="180">
        <v>28</v>
      </c>
      <c r="D13" s="180">
        <v>60</v>
      </c>
      <c r="E13" s="180">
        <v>80</v>
      </c>
      <c r="H13" s="219" t="str">
        <f>B3</f>
        <v>Office 1</v>
      </c>
      <c r="I13" s="219" t="str">
        <f>C3</f>
        <v>Office 2</v>
      </c>
      <c r="J13" s="219" t="str">
        <f>D3</f>
        <v>Office 3</v>
      </c>
      <c r="K13" s="219" t="str">
        <f>E3</f>
        <v>Office 4</v>
      </c>
      <c r="N13" t="s">
        <v>621</v>
      </c>
    </row>
    <row r="14" spans="1:34" x14ac:dyDescent="0.25">
      <c r="A14" s="216" t="s">
        <v>585</v>
      </c>
      <c r="B14" s="216">
        <v>80</v>
      </c>
      <c r="C14" s="216">
        <v>75</v>
      </c>
      <c r="D14" s="216">
        <v>55</v>
      </c>
      <c r="E14" s="216">
        <v>53</v>
      </c>
      <c r="G14" t="str">
        <f>A4</f>
        <v>Conflict</v>
      </c>
      <c r="H14" s="203">
        <f>AVERAGE(B4:B8)</f>
        <v>53.8</v>
      </c>
      <c r="I14" s="187">
        <f>AVERAGE(C4:C8)</f>
        <v>43</v>
      </c>
      <c r="J14" s="187">
        <f>AVERAGE(D4:D8)</f>
        <v>31.8</v>
      </c>
      <c r="K14" s="204">
        <f>AVERAGE(E4:E8)</f>
        <v>49.4</v>
      </c>
      <c r="L14">
        <f>AVERAGE(B4:E8)</f>
        <v>44.5</v>
      </c>
    </row>
    <row r="15" spans="1:34" ht="15.75" thickBot="1" x14ac:dyDescent="0.3">
      <c r="A15" s="173"/>
      <c r="B15" s="173">
        <v>39</v>
      </c>
      <c r="C15" s="173">
        <v>57</v>
      </c>
      <c r="D15" s="173">
        <v>73</v>
      </c>
      <c r="E15" s="173">
        <v>51</v>
      </c>
      <c r="G15" t="str">
        <f>A9</f>
        <v>Psychol</v>
      </c>
      <c r="H15" s="76">
        <f>AVERAGE(B9:B13)</f>
        <v>45</v>
      </c>
      <c r="I15" s="7">
        <f>AVERAGE(C9:C13)</f>
        <v>40.4</v>
      </c>
      <c r="J15" s="7">
        <f>AVERAGE(D9:D13)</f>
        <v>56</v>
      </c>
      <c r="K15" s="35">
        <f>AVERAGE(E9:E13)</f>
        <v>70.2</v>
      </c>
      <c r="L15">
        <f>AVERAGE(B9:E13)</f>
        <v>52.9</v>
      </c>
      <c r="N15" t="s">
        <v>84</v>
      </c>
      <c r="R15" s="236" t="s">
        <v>17</v>
      </c>
      <c r="S15" s="236">
        <v>0.05</v>
      </c>
    </row>
    <row r="16" spans="1:34" ht="15.75" thickTop="1" x14ac:dyDescent="0.25">
      <c r="A16" s="173"/>
      <c r="B16" s="173">
        <v>78</v>
      </c>
      <c r="C16" s="173">
        <v>63</v>
      </c>
      <c r="D16" s="173">
        <v>69</v>
      </c>
      <c r="E16" s="173">
        <v>47</v>
      </c>
      <c r="G16" t="str">
        <f>A14</f>
        <v>Negot</v>
      </c>
      <c r="H16" s="182">
        <f>AVERAGE(B14:B18)</f>
        <v>60.2</v>
      </c>
      <c r="I16" s="183">
        <f>AVERAGE(C14:C18)</f>
        <v>57.6</v>
      </c>
      <c r="J16" s="183">
        <f>AVERAGE(D14:D18)</f>
        <v>64</v>
      </c>
      <c r="K16" s="184">
        <f>AVERAGE(E14:E18)</f>
        <v>47.4</v>
      </c>
      <c r="L16">
        <f>AVERAGE(B14:E18)</f>
        <v>57.3</v>
      </c>
      <c r="N16" s="191"/>
      <c r="O16" s="191" t="s">
        <v>76</v>
      </c>
      <c r="P16" s="191" t="s">
        <v>37</v>
      </c>
      <c r="Q16" s="191" t="s">
        <v>78</v>
      </c>
      <c r="R16" s="191" t="s">
        <v>68</v>
      </c>
      <c r="S16" s="191" t="s">
        <v>43</v>
      </c>
      <c r="T16" s="191" t="s">
        <v>111</v>
      </c>
    </row>
    <row r="17" spans="1:25" x14ac:dyDescent="0.25">
      <c r="A17" s="173"/>
      <c r="B17" s="173">
        <v>45</v>
      </c>
      <c r="C17" s="173">
        <v>25</v>
      </c>
      <c r="D17" s="173">
        <v>64</v>
      </c>
      <c r="E17" s="173">
        <v>41</v>
      </c>
      <c r="H17">
        <f>AVERAGE(B4:B18)</f>
        <v>53</v>
      </c>
      <c r="I17">
        <f>AVERAGE(C4:C18)</f>
        <v>47</v>
      </c>
      <c r="J17">
        <f>AVERAGE(D4:D18)</f>
        <v>50.6</v>
      </c>
      <c r="K17">
        <f>AVERAGE(E4:E18)</f>
        <v>55.666666666666664</v>
      </c>
      <c r="L17">
        <f>AVERAGE(B4:E18)</f>
        <v>51.56666666666667</v>
      </c>
      <c r="N17" t="s">
        <v>69</v>
      </c>
      <c r="O17">
        <f>O7</f>
        <v>1691.7333333333327</v>
      </c>
      <c r="P17">
        <f>P7</f>
        <v>2</v>
      </c>
      <c r="Q17">
        <f>O17/P17</f>
        <v>845.86666666666633</v>
      </c>
      <c r="R17">
        <f>Q17/Q19</f>
        <v>1.2214093184443571</v>
      </c>
      <c r="S17">
        <f>FDIST(R17,P17,P19)</f>
        <v>0.35891480306310647</v>
      </c>
      <c r="T17" s="236" t="str">
        <f>IF(S17&lt;S15,"yes","no")</f>
        <v>no</v>
      </c>
    </row>
    <row r="18" spans="1:25" x14ac:dyDescent="0.25">
      <c r="A18" s="180"/>
      <c r="B18" s="180">
        <v>59</v>
      </c>
      <c r="C18" s="180">
        <v>68</v>
      </c>
      <c r="D18" s="180">
        <v>59</v>
      </c>
      <c r="E18" s="180">
        <v>45</v>
      </c>
      <c r="N18" t="s">
        <v>123</v>
      </c>
      <c r="O18">
        <f t="shared" ref="O18:P21" si="1">O8</f>
        <v>609.79999999999973</v>
      </c>
      <c r="P18">
        <f t="shared" si="1"/>
        <v>3</v>
      </c>
      <c r="Q18">
        <f>O18/P18</f>
        <v>203.26666666666657</v>
      </c>
      <c r="R18">
        <f>Q18/Q20</f>
        <v>0.96220907297830327</v>
      </c>
      <c r="S18">
        <f>FDIST(R18,P18,P20)</f>
        <v>0.41826475115765016</v>
      </c>
      <c r="T18" s="236" t="str">
        <f>IF(S18&lt;S15,"yes","no")</f>
        <v>no</v>
      </c>
    </row>
    <row r="19" spans="1:25" x14ac:dyDescent="0.25">
      <c r="G19" t="s">
        <v>503</v>
      </c>
      <c r="N19" t="s">
        <v>432</v>
      </c>
      <c r="O19">
        <f t="shared" si="1"/>
        <v>4155.2000000000044</v>
      </c>
      <c r="P19">
        <f t="shared" si="1"/>
        <v>6</v>
      </c>
      <c r="Q19">
        <f>O19/P19</f>
        <v>692.5333333333341</v>
      </c>
      <c r="R19">
        <f>Q19/Q20</f>
        <v>3.2782642998027649</v>
      </c>
      <c r="S19">
        <f>FDIST(R19,P19,P20)</f>
        <v>8.7718106561581848E-3</v>
      </c>
      <c r="T19" s="236" t="str">
        <f>IF(S19&lt;S15,"yes","no")</f>
        <v>yes</v>
      </c>
    </row>
    <row r="20" spans="1:25" x14ac:dyDescent="0.25">
      <c r="H20" s="219" t="str">
        <f>B3</f>
        <v>Office 1</v>
      </c>
      <c r="I20" s="219" t="str">
        <f>C3</f>
        <v>Office 2</v>
      </c>
      <c r="J20" s="219" t="str">
        <f>D3</f>
        <v>Office 3</v>
      </c>
      <c r="K20" s="219" t="str">
        <f>E3</f>
        <v>Office 4</v>
      </c>
      <c r="N20" t="s">
        <v>124</v>
      </c>
      <c r="O20">
        <f t="shared" si="1"/>
        <v>10140</v>
      </c>
      <c r="P20">
        <f t="shared" si="1"/>
        <v>48</v>
      </c>
      <c r="Q20">
        <f>O20/P20</f>
        <v>211.25</v>
      </c>
    </row>
    <row r="21" spans="1:25" x14ac:dyDescent="0.25">
      <c r="G21" t="str">
        <f>A4</f>
        <v>Conflict</v>
      </c>
      <c r="H21" s="203">
        <f>VAR(B4:B8)</f>
        <v>306.19999999999982</v>
      </c>
      <c r="I21" s="187">
        <f>VAR(C4:C8)</f>
        <v>209</v>
      </c>
      <c r="J21" s="187">
        <f>VAR(D4:D8)</f>
        <v>50.200000000000045</v>
      </c>
      <c r="K21" s="204">
        <f>VAR(E4:E8)</f>
        <v>233.80000000000018</v>
      </c>
      <c r="L21">
        <f>VAR(B4:E8)</f>
        <v>240.36842105263159</v>
      </c>
      <c r="N21" s="185" t="s">
        <v>1</v>
      </c>
      <c r="O21" s="185">
        <f t="shared" si="1"/>
        <v>16596.733333333337</v>
      </c>
      <c r="P21" s="185">
        <f t="shared" si="1"/>
        <v>59</v>
      </c>
      <c r="Q21" s="185">
        <f>O21/P21</f>
        <v>281.3005649717515</v>
      </c>
      <c r="R21" s="185"/>
      <c r="S21" s="185"/>
      <c r="T21" s="185"/>
    </row>
    <row r="22" spans="1:25" x14ac:dyDescent="0.25">
      <c r="G22" t="str">
        <f>A9</f>
        <v>Psychol</v>
      </c>
      <c r="H22" s="76">
        <f>VAR(B9:B13)</f>
        <v>239.5</v>
      </c>
      <c r="I22" s="7">
        <f>VAR(C9:C13)</f>
        <v>291.29999999999995</v>
      </c>
      <c r="J22" s="7">
        <f>VAR(D9:D13)</f>
        <v>347</v>
      </c>
      <c r="K22" s="35">
        <f>VAR(E9:E13)</f>
        <v>58.7</v>
      </c>
      <c r="L22">
        <f>VAR(B9:E13)</f>
        <v>335.98947368421068</v>
      </c>
    </row>
    <row r="23" spans="1:25" x14ac:dyDescent="0.25">
      <c r="G23" t="str">
        <f>A14</f>
        <v>Negot</v>
      </c>
      <c r="H23" s="182">
        <f>VAR(B14:B18)</f>
        <v>347.69999999999982</v>
      </c>
      <c r="I23" s="183">
        <f>VAR(C14:C18)</f>
        <v>375.80000000000018</v>
      </c>
      <c r="J23" s="183">
        <f>VAR(D14:D18)</f>
        <v>53</v>
      </c>
      <c r="K23" s="184">
        <f>VAR(E14:E18)</f>
        <v>22.799999999999997</v>
      </c>
      <c r="L23">
        <f>VAR(B14:E18)</f>
        <v>208.11578947368406</v>
      </c>
    </row>
    <row r="24" spans="1:25" x14ac:dyDescent="0.25">
      <c r="H24">
        <f>VAR(B4:B18)</f>
        <v>296.85714285714283</v>
      </c>
      <c r="I24">
        <f>VAR(C4:C18)</f>
        <v>311.71428571428572</v>
      </c>
      <c r="J24">
        <f>VAR(D4:D18)</f>
        <v>329.39999999999992</v>
      </c>
      <c r="K24">
        <f>VAR(E4:E18)</f>
        <v>203.95238095238113</v>
      </c>
      <c r="L24">
        <f>VAR(B4:E18)</f>
        <v>281.3005649717515</v>
      </c>
    </row>
    <row r="27" spans="1:25" x14ac:dyDescent="0.25">
      <c r="A27" t="s">
        <v>504</v>
      </c>
    </row>
    <row r="28" spans="1:25" x14ac:dyDescent="0.25">
      <c r="V28" t="s">
        <v>504</v>
      </c>
    </row>
    <row r="29" spans="1:25" x14ac:dyDescent="0.25">
      <c r="B29" s="189" t="s">
        <v>586</v>
      </c>
      <c r="C29" s="189" t="s">
        <v>587</v>
      </c>
      <c r="D29" s="189" t="s">
        <v>585</v>
      </c>
      <c r="F29" t="s">
        <v>98</v>
      </c>
    </row>
    <row r="30" spans="1:25" x14ac:dyDescent="0.25">
      <c r="A30" s="216" t="s">
        <v>576</v>
      </c>
      <c r="B30" s="216">
        <v>34</v>
      </c>
      <c r="C30" s="216">
        <v>45</v>
      </c>
      <c r="D30" s="216">
        <v>80</v>
      </c>
      <c r="W30" s="189" t="str">
        <f>A4</f>
        <v>Conflict</v>
      </c>
      <c r="X30" s="189" t="str">
        <f>A9</f>
        <v>Psychol</v>
      </c>
      <c r="Y30" s="189" t="str">
        <f>A14</f>
        <v>Negot</v>
      </c>
    </row>
    <row r="31" spans="1:25" ht="15.75" thickBot="1" x14ac:dyDescent="0.3">
      <c r="A31" s="173"/>
      <c r="B31" s="173">
        <v>56</v>
      </c>
      <c r="C31" s="173">
        <v>40</v>
      </c>
      <c r="D31" s="173">
        <v>39</v>
      </c>
      <c r="F31" t="s">
        <v>99</v>
      </c>
      <c r="K31" t="s">
        <v>17</v>
      </c>
      <c r="L31">
        <v>0.05</v>
      </c>
      <c r="V31" s="216" t="str">
        <f>B3</f>
        <v>Office 1</v>
      </c>
      <c r="W31" s="216">
        <f>IF(B4="","",B4)</f>
        <v>34</v>
      </c>
      <c r="X31" s="216">
        <f>IF(B9="","",B9)</f>
        <v>45</v>
      </c>
      <c r="Y31" s="216">
        <f>IF(B14="","",B14)</f>
        <v>80</v>
      </c>
    </row>
    <row r="32" spans="1:25" ht="15.75" thickTop="1" x14ac:dyDescent="0.25">
      <c r="A32" s="173"/>
      <c r="B32" s="173">
        <v>78</v>
      </c>
      <c r="C32" s="173">
        <v>65</v>
      </c>
      <c r="D32" s="173">
        <v>78</v>
      </c>
      <c r="F32" s="191" t="s">
        <v>47</v>
      </c>
      <c r="G32" s="191" t="s">
        <v>11</v>
      </c>
      <c r="H32" s="191" t="s">
        <v>10</v>
      </c>
      <c r="I32" s="191" t="s">
        <v>8</v>
      </c>
      <c r="J32" s="191" t="s">
        <v>48</v>
      </c>
      <c r="K32" s="191" t="s">
        <v>76</v>
      </c>
      <c r="L32" s="191" t="s">
        <v>36</v>
      </c>
      <c r="M32" s="191" t="s">
        <v>91</v>
      </c>
      <c r="N32" s="191" t="s">
        <v>92</v>
      </c>
      <c r="V32" s="173"/>
      <c r="W32" s="173">
        <f>IF(B5="","",B5)</f>
        <v>56</v>
      </c>
      <c r="X32" s="173">
        <f>IF(B10="","",B10)</f>
        <v>40</v>
      </c>
      <c r="Y32" s="173">
        <f>IF(B15="","",B15)</f>
        <v>39</v>
      </c>
    </row>
    <row r="33" spans="1:25" x14ac:dyDescent="0.25">
      <c r="A33" s="173"/>
      <c r="B33" s="173">
        <v>40</v>
      </c>
      <c r="C33" s="173">
        <v>52</v>
      </c>
      <c r="D33" s="173">
        <v>45</v>
      </c>
      <c r="F33" t="str">
        <f>B29</f>
        <v>Conflict</v>
      </c>
      <c r="G33">
        <f>COUNT(B30:B49)</f>
        <v>20</v>
      </c>
      <c r="H33">
        <f>SUM(B30:B49)</f>
        <v>890</v>
      </c>
      <c r="I33">
        <f>AVERAGE(B30:B49)</f>
        <v>44.5</v>
      </c>
      <c r="J33">
        <f>VAR(B30:B49)</f>
        <v>240.36842105263159</v>
      </c>
      <c r="K33">
        <f>DEVSQ(B30:B49)</f>
        <v>4567</v>
      </c>
      <c r="L33">
        <f>SQRT(I40/G33)</f>
        <v>3.6158762981480397</v>
      </c>
      <c r="M33">
        <f>I33-L33*TINV(L31,G33-1)</f>
        <v>36.931883930211278</v>
      </c>
      <c r="N33">
        <f>I33+L33*TINV(L31,G33-1)</f>
        <v>52.068116069788722</v>
      </c>
      <c r="V33" s="173"/>
      <c r="W33" s="173">
        <f>IF(B6="","",B6)</f>
        <v>78</v>
      </c>
      <c r="X33" s="173">
        <f>IF(B11="","",B11)</f>
        <v>65</v>
      </c>
      <c r="Y33" s="173">
        <f>IF(B16="","",B16)</f>
        <v>78</v>
      </c>
    </row>
    <row r="34" spans="1:25" x14ac:dyDescent="0.25">
      <c r="A34" s="180"/>
      <c r="B34" s="180">
        <v>61</v>
      </c>
      <c r="C34" s="180">
        <v>23</v>
      </c>
      <c r="D34" s="180">
        <v>59</v>
      </c>
      <c r="F34" t="str">
        <f>C29</f>
        <v>Psychol</v>
      </c>
      <c r="G34">
        <f>COUNT(C30:C49)</f>
        <v>20</v>
      </c>
      <c r="H34">
        <f>SUM(C30:C49)</f>
        <v>1058</v>
      </c>
      <c r="I34">
        <f>AVERAGE(C30:C49)</f>
        <v>52.9</v>
      </c>
      <c r="J34">
        <f>VAR(C30:C49)</f>
        <v>335.98947368421068</v>
      </c>
      <c r="K34">
        <f>DEVSQ(C30:C49)</f>
        <v>6383.8</v>
      </c>
      <c r="L34">
        <f>SQRT(I40/G34)</f>
        <v>3.6158762981480397</v>
      </c>
      <c r="M34">
        <f>I34-L34*TINV(L31,G34-1)</f>
        <v>45.331883930211276</v>
      </c>
      <c r="N34">
        <f>I34+L34*TINV(L31,G34-1)</f>
        <v>60.468116069788721</v>
      </c>
      <c r="V34" s="173"/>
      <c r="W34" s="173">
        <f>IF(B7="","",B7)</f>
        <v>40</v>
      </c>
      <c r="X34" s="173">
        <f>IF(B12="","",B12)</f>
        <v>52</v>
      </c>
      <c r="Y34" s="173">
        <f>IF(B17="","",B17)</f>
        <v>45</v>
      </c>
    </row>
    <row r="35" spans="1:25" x14ac:dyDescent="0.25">
      <c r="A35" s="216" t="s">
        <v>577</v>
      </c>
      <c r="B35" s="216">
        <v>46</v>
      </c>
      <c r="C35" s="216">
        <v>23</v>
      </c>
      <c r="D35" s="216">
        <v>75</v>
      </c>
      <c r="F35" t="str">
        <f>D29</f>
        <v>Negot</v>
      </c>
      <c r="G35">
        <f>COUNT(D30:D49)</f>
        <v>20</v>
      </c>
      <c r="H35">
        <f>SUM(D30:D49)</f>
        <v>1146</v>
      </c>
      <c r="I35">
        <f>AVERAGE(D30:D49)</f>
        <v>57.3</v>
      </c>
      <c r="J35">
        <f>VAR(D30:D49)</f>
        <v>208.11578947368406</v>
      </c>
      <c r="K35">
        <f>DEVSQ(D30:D49)</f>
        <v>3954.2000000000003</v>
      </c>
      <c r="L35">
        <f>SQRT(I40/G35)</f>
        <v>3.6158762981480397</v>
      </c>
      <c r="M35">
        <f>I35-L35*TINV(L31,G35-1)</f>
        <v>49.731883930211275</v>
      </c>
      <c r="N35">
        <f>I35+L35*TINV(L31,G35-1)</f>
        <v>64.868116069788712</v>
      </c>
      <c r="V35" s="180"/>
      <c r="W35" s="180">
        <f>IF(B8="","",B8)</f>
        <v>61</v>
      </c>
      <c r="X35" s="180">
        <f>IF(B13="","",B13)</f>
        <v>23</v>
      </c>
      <c r="Y35" s="180">
        <f>IF(B18="","",B18)</f>
        <v>59</v>
      </c>
    </row>
    <row r="36" spans="1:25" x14ac:dyDescent="0.25">
      <c r="A36" s="173"/>
      <c r="B36" s="173">
        <v>19</v>
      </c>
      <c r="C36" s="173">
        <v>56</v>
      </c>
      <c r="D36" s="173">
        <v>57</v>
      </c>
      <c r="F36" s="205"/>
      <c r="G36" s="205"/>
      <c r="H36" s="205"/>
      <c r="I36" s="205"/>
      <c r="J36" s="205"/>
      <c r="K36" s="205"/>
      <c r="L36" s="205"/>
      <c r="M36" s="205"/>
      <c r="N36" s="205"/>
      <c r="V36" s="216" t="str">
        <f>C3</f>
        <v>Office 2</v>
      </c>
      <c r="W36" s="216">
        <f>IF(C4="","",C4)</f>
        <v>46</v>
      </c>
      <c r="X36" s="216">
        <f>IF(C9="","",C9)</f>
        <v>23</v>
      </c>
      <c r="Y36" s="216">
        <f>IF(C14="","",C14)</f>
        <v>75</v>
      </c>
    </row>
    <row r="37" spans="1:25" ht="15.75" thickBot="1" x14ac:dyDescent="0.3">
      <c r="A37" s="173"/>
      <c r="B37" s="173">
        <v>56</v>
      </c>
      <c r="C37" s="173">
        <v>61</v>
      </c>
      <c r="D37" s="173">
        <v>63</v>
      </c>
      <c r="F37" t="s">
        <v>84</v>
      </c>
      <c r="V37" s="173"/>
      <c r="W37" s="173">
        <f>IF(C5="","",C5)</f>
        <v>19</v>
      </c>
      <c r="X37" s="173">
        <f>IF(C10="","",C10)</f>
        <v>56</v>
      </c>
      <c r="Y37" s="173">
        <f>IF(C15="","",C15)</f>
        <v>57</v>
      </c>
    </row>
    <row r="38" spans="1:25" ht="15.75" thickTop="1" x14ac:dyDescent="0.25">
      <c r="A38" s="173"/>
      <c r="B38" s="173">
        <v>52</v>
      </c>
      <c r="C38" s="173">
        <v>34</v>
      </c>
      <c r="D38" s="173">
        <v>25</v>
      </c>
      <c r="F38" s="191" t="s">
        <v>100</v>
      </c>
      <c r="G38" s="191" t="s">
        <v>76</v>
      </c>
      <c r="H38" s="191" t="s">
        <v>37</v>
      </c>
      <c r="I38" s="191" t="s">
        <v>78</v>
      </c>
      <c r="J38" s="191" t="s">
        <v>68</v>
      </c>
      <c r="K38" s="191" t="s">
        <v>101</v>
      </c>
      <c r="L38" s="191" t="s">
        <v>108</v>
      </c>
      <c r="M38" s="191" t="s">
        <v>408</v>
      </c>
      <c r="N38" s="191" t="s">
        <v>409</v>
      </c>
      <c r="V38" s="173"/>
      <c r="W38" s="173">
        <f>IF(C6="","",C6)</f>
        <v>56</v>
      </c>
      <c r="X38" s="173">
        <f>IF(C11="","",C11)</f>
        <v>61</v>
      </c>
      <c r="Y38" s="173">
        <f>IF(C16="","",C16)</f>
        <v>63</v>
      </c>
    </row>
    <row r="39" spans="1:25" x14ac:dyDescent="0.25">
      <c r="A39" s="180"/>
      <c r="B39" s="180">
        <v>42</v>
      </c>
      <c r="C39" s="180">
        <v>28</v>
      </c>
      <c r="D39" s="180">
        <v>68</v>
      </c>
      <c r="F39" t="s">
        <v>103</v>
      </c>
      <c r="G39">
        <f>G41-G40</f>
        <v>1691.7333333333336</v>
      </c>
      <c r="H39">
        <f>COUNTA(F33:F35)-1</f>
        <v>2</v>
      </c>
      <c r="I39">
        <f>G39/H39</f>
        <v>845.86666666666679</v>
      </c>
      <c r="J39">
        <f>I39/I40</f>
        <v>3.2347802750754782</v>
      </c>
      <c r="K39">
        <f>FDIST(J39,H39,H40)</f>
        <v>4.6700000248597356E-2</v>
      </c>
      <c r="L39">
        <f>FINV(L31,H39,H40)</f>
        <v>3.158842719260647</v>
      </c>
      <c r="M39">
        <f>SQRT(DEVSQ(I33:I35)/(I40*H39))</f>
        <v>0.40216789249488061</v>
      </c>
      <c r="N39">
        <f>(G41-H41*I40)/(G41+I40)</f>
        <v>6.9328230439450245E-2</v>
      </c>
      <c r="V39" s="173"/>
      <c r="W39" s="173">
        <f>IF(C7="","",C7)</f>
        <v>52</v>
      </c>
      <c r="X39" s="173">
        <f>IF(C12="","",C12)</f>
        <v>34</v>
      </c>
      <c r="Y39" s="173">
        <f>IF(C17="","",C17)</f>
        <v>25</v>
      </c>
    </row>
    <row r="40" spans="1:25" x14ac:dyDescent="0.25">
      <c r="A40" s="216" t="s">
        <v>578</v>
      </c>
      <c r="B40" s="216">
        <v>23</v>
      </c>
      <c r="C40" s="216">
        <v>75</v>
      </c>
      <c r="D40" s="216">
        <v>55</v>
      </c>
      <c r="F40" t="s">
        <v>104</v>
      </c>
      <c r="G40">
        <f>SUM(K33:K35)</f>
        <v>14905</v>
      </c>
      <c r="H40">
        <f>H41-H39</f>
        <v>57</v>
      </c>
      <c r="I40">
        <f>G40/H40</f>
        <v>261.49122807017545</v>
      </c>
      <c r="V40" s="180"/>
      <c r="W40" s="180">
        <f>IF(C8="","",C8)</f>
        <v>42</v>
      </c>
      <c r="X40" s="180">
        <f>IF(C13="","",C13)</f>
        <v>28</v>
      </c>
      <c r="Y40" s="180">
        <f>IF(C18="","",C18)</f>
        <v>68</v>
      </c>
    </row>
    <row r="41" spans="1:25" x14ac:dyDescent="0.25">
      <c r="A41" s="173"/>
      <c r="B41" s="173">
        <v>32</v>
      </c>
      <c r="C41" s="173">
        <v>57</v>
      </c>
      <c r="D41" s="173">
        <v>73</v>
      </c>
      <c r="F41" s="185" t="s">
        <v>1</v>
      </c>
      <c r="G41" s="185">
        <f>DEVSQ(B30:D49)</f>
        <v>16596.733333333334</v>
      </c>
      <c r="H41" s="185">
        <f>COUNT(B30:D49)-1</f>
        <v>59</v>
      </c>
      <c r="I41" s="185">
        <f>G41/H41</f>
        <v>281.30056497175144</v>
      </c>
      <c r="J41" s="185"/>
      <c r="K41" s="185"/>
      <c r="L41" s="185"/>
      <c r="M41" s="185"/>
      <c r="N41" s="185"/>
      <c r="V41" s="216" t="str">
        <f>D3</f>
        <v>Office 3</v>
      </c>
      <c r="W41" s="216">
        <f>IF(D4="","",D4)</f>
        <v>23</v>
      </c>
      <c r="X41" s="216">
        <f>IF(D9="","",D9)</f>
        <v>75</v>
      </c>
      <c r="Y41" s="216">
        <f>IF(D14="","",D14)</f>
        <v>55</v>
      </c>
    </row>
    <row r="42" spans="1:25" x14ac:dyDescent="0.25">
      <c r="A42" s="173"/>
      <c r="B42" s="173">
        <v>42</v>
      </c>
      <c r="C42" s="173">
        <v>63</v>
      </c>
      <c r="D42" s="173">
        <v>69</v>
      </c>
      <c r="V42" s="173"/>
      <c r="W42" s="173">
        <f>IF(D5="","",D5)</f>
        <v>32</v>
      </c>
      <c r="X42" s="173">
        <f>IF(D10="","",D10)</f>
        <v>57</v>
      </c>
      <c r="Y42" s="173">
        <f>IF(D15="","",D15)</f>
        <v>73</v>
      </c>
    </row>
    <row r="43" spans="1:25" x14ac:dyDescent="0.25">
      <c r="A43" s="173"/>
      <c r="B43" s="173">
        <v>34</v>
      </c>
      <c r="C43" s="173">
        <v>25</v>
      </c>
      <c r="D43" s="173">
        <v>64</v>
      </c>
      <c r="V43" s="173"/>
      <c r="W43" s="173">
        <f>IF(D6="","",D6)</f>
        <v>42</v>
      </c>
      <c r="X43" s="173">
        <f>IF(D11="","",D11)</f>
        <v>63</v>
      </c>
      <c r="Y43" s="173">
        <f>IF(D16="","",D16)</f>
        <v>69</v>
      </c>
    </row>
    <row r="44" spans="1:25" x14ac:dyDescent="0.25">
      <c r="A44" s="180"/>
      <c r="B44" s="180">
        <v>28</v>
      </c>
      <c r="C44" s="180">
        <v>60</v>
      </c>
      <c r="D44" s="180">
        <v>59</v>
      </c>
      <c r="V44" s="173"/>
      <c r="W44" s="173">
        <f>IF(D7="","",D7)</f>
        <v>34</v>
      </c>
      <c r="X44" s="173">
        <f>IF(D12="","",D12)</f>
        <v>25</v>
      </c>
      <c r="Y44" s="173">
        <f>IF(D17="","",D17)</f>
        <v>64</v>
      </c>
    </row>
    <row r="45" spans="1:25" x14ac:dyDescent="0.25">
      <c r="A45" s="216" t="s">
        <v>579</v>
      </c>
      <c r="B45" s="216">
        <v>50</v>
      </c>
      <c r="C45" s="216">
        <v>73</v>
      </c>
      <c r="D45" s="216">
        <v>53</v>
      </c>
      <c r="V45" s="180"/>
      <c r="W45" s="180">
        <f>IF(D8="","",D8)</f>
        <v>28</v>
      </c>
      <c r="X45" s="180">
        <f>IF(D13="","",D13)</f>
        <v>60</v>
      </c>
      <c r="Y45" s="180">
        <f>IF(D18="","",D18)</f>
        <v>59</v>
      </c>
    </row>
    <row r="46" spans="1:25" x14ac:dyDescent="0.25">
      <c r="A46" s="173"/>
      <c r="B46" s="173">
        <v>72</v>
      </c>
      <c r="C46" s="173">
        <v>68</v>
      </c>
      <c r="D46" s="173">
        <v>51</v>
      </c>
      <c r="V46" s="216" t="str">
        <f>E3</f>
        <v>Office 4</v>
      </c>
      <c r="W46" s="216">
        <f>IF(E4="","",E4)</f>
        <v>50</v>
      </c>
      <c r="X46" s="216">
        <f>IF(E9="","",E9)</f>
        <v>73</v>
      </c>
      <c r="Y46" s="216">
        <f>IF(E14="","",E14)</f>
        <v>53</v>
      </c>
    </row>
    <row r="47" spans="1:25" x14ac:dyDescent="0.25">
      <c r="A47" s="173"/>
      <c r="B47" s="173">
        <v>30</v>
      </c>
      <c r="C47" s="173">
        <v>71</v>
      </c>
      <c r="D47" s="173">
        <v>47</v>
      </c>
      <c r="V47" s="173"/>
      <c r="W47" s="173">
        <f>IF(E5="","",E5)</f>
        <v>72</v>
      </c>
      <c r="X47" s="173">
        <f>IF(E10="","",E10)</f>
        <v>68</v>
      </c>
      <c r="Y47" s="173">
        <f>IF(E15="","",E15)</f>
        <v>51</v>
      </c>
    </row>
    <row r="48" spans="1:25" x14ac:dyDescent="0.25">
      <c r="A48" s="173"/>
      <c r="B48" s="173">
        <v>52</v>
      </c>
      <c r="C48" s="173">
        <v>59</v>
      </c>
      <c r="D48" s="173">
        <v>41</v>
      </c>
      <c r="V48" s="173"/>
      <c r="W48" s="173">
        <f>IF(E6="","",E6)</f>
        <v>30</v>
      </c>
      <c r="X48" s="173">
        <f>IF(E11="","",E11)</f>
        <v>71</v>
      </c>
      <c r="Y48" s="173">
        <f>IF(E16="","",E16)</f>
        <v>47</v>
      </c>
    </row>
    <row r="49" spans="1:25" x14ac:dyDescent="0.25">
      <c r="A49" s="180"/>
      <c r="B49" s="180">
        <v>43</v>
      </c>
      <c r="C49" s="180">
        <v>80</v>
      </c>
      <c r="D49" s="180">
        <v>45</v>
      </c>
      <c r="V49" s="173"/>
      <c r="W49" s="173">
        <f>IF(E7="","",E7)</f>
        <v>52</v>
      </c>
      <c r="X49" s="173">
        <f>IF(E12="","",E12)</f>
        <v>59</v>
      </c>
      <c r="Y49" s="173">
        <f>IF(E17="","",E17)</f>
        <v>41</v>
      </c>
    </row>
    <row r="50" spans="1:25" x14ac:dyDescent="0.25">
      <c r="V50" s="180"/>
      <c r="W50" s="180">
        <f>IF(E8="","",E8)</f>
        <v>43</v>
      </c>
      <c r="X50" s="180">
        <f>IF(E13="","",E13)</f>
        <v>80</v>
      </c>
      <c r="Y50" s="180">
        <f>IF(E18="","",E18)</f>
        <v>45</v>
      </c>
    </row>
  </sheetData>
  <mergeCells count="4">
    <mergeCell ref="V3:X3"/>
    <mergeCell ref="Y3:AA3"/>
    <mergeCell ref="AB3:AD3"/>
    <mergeCell ref="AE3:AG3"/>
  </mergeCells>
  <pageMargins left="0.7" right="0.7" top="0.75" bottom="0.75" header="0.3" footer="0.3"/>
  <ignoredErrors>
    <ignoredError sqref="H7:K9 H14:K16 H21:K23" formulaRange="1"/>
  </ignoredError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9"/>
  <dimension ref="A1:AE53"/>
  <sheetViews>
    <sheetView workbookViewId="0"/>
  </sheetViews>
  <sheetFormatPr defaultRowHeight="15" x14ac:dyDescent="0.25"/>
  <sheetData>
    <row r="1" spans="1:28" x14ac:dyDescent="0.25">
      <c r="A1" s="1" t="s">
        <v>292</v>
      </c>
    </row>
    <row r="3" spans="1:28" x14ac:dyDescent="0.25">
      <c r="A3" s="1" t="s">
        <v>232</v>
      </c>
      <c r="I3" s="1" t="s">
        <v>233</v>
      </c>
      <c r="Q3" s="1" t="s">
        <v>234</v>
      </c>
      <c r="Y3" s="1" t="s">
        <v>294</v>
      </c>
    </row>
    <row r="5" spans="1:28" x14ac:dyDescent="0.25">
      <c r="A5" s="83" t="s">
        <v>35</v>
      </c>
      <c r="B5" s="83" t="s">
        <v>237</v>
      </c>
      <c r="C5" s="83" t="s">
        <v>238</v>
      </c>
      <c r="I5" s="83" t="s">
        <v>35</v>
      </c>
      <c r="J5" s="83" t="s">
        <v>237</v>
      </c>
      <c r="K5" s="83" t="s">
        <v>238</v>
      </c>
      <c r="Q5" s="83" t="s">
        <v>35</v>
      </c>
      <c r="R5" s="83" t="s">
        <v>237</v>
      </c>
      <c r="S5" s="83" t="s">
        <v>238</v>
      </c>
      <c r="Y5" s="86" t="s">
        <v>35</v>
      </c>
      <c r="Z5" s="86" t="s">
        <v>233</v>
      </c>
      <c r="AA5" s="86" t="s">
        <v>234</v>
      </c>
    </row>
    <row r="6" spans="1:28" x14ac:dyDescent="0.25">
      <c r="A6" s="83" t="s">
        <v>114</v>
      </c>
      <c r="B6" s="88">
        <v>1</v>
      </c>
      <c r="C6" s="90">
        <v>-1</v>
      </c>
      <c r="D6" s="91" t="s">
        <v>182</v>
      </c>
      <c r="I6" s="83" t="s">
        <v>114</v>
      </c>
      <c r="J6" s="88">
        <v>1</v>
      </c>
      <c r="K6" s="90">
        <v>-1</v>
      </c>
      <c r="L6" s="91" t="s">
        <v>182</v>
      </c>
      <c r="Q6" s="83" t="s">
        <v>114</v>
      </c>
      <c r="R6" s="88">
        <v>1</v>
      </c>
      <c r="S6" s="90">
        <v>-1</v>
      </c>
      <c r="T6" s="91" t="s">
        <v>182</v>
      </c>
      <c r="Y6" s="86" t="s">
        <v>114</v>
      </c>
      <c r="Z6" s="88">
        <v>1</v>
      </c>
      <c r="AA6" s="90">
        <v>-1</v>
      </c>
      <c r="AB6" s="91" t="s">
        <v>182</v>
      </c>
    </row>
    <row r="7" spans="1:28" x14ac:dyDescent="0.25">
      <c r="A7" s="83">
        <v>1</v>
      </c>
      <c r="B7" s="100">
        <f>'ANOVA Match 2.1'!B5</f>
        <v>13</v>
      </c>
      <c r="C7" s="94">
        <f>'ANOVA Match 2.1'!E5</f>
        <v>18</v>
      </c>
      <c r="D7" s="78">
        <f>SUMPRODUCT(B$6:C$6,B7:C7)</f>
        <v>-5</v>
      </c>
      <c r="I7" s="83">
        <v>1</v>
      </c>
      <c r="J7" s="100">
        <f>'ANOVA Match 2.1'!C5</f>
        <v>12</v>
      </c>
      <c r="K7" s="94">
        <f>'ANOVA Match 2.1'!F5</f>
        <v>30</v>
      </c>
      <c r="L7" s="78">
        <f>SUMPRODUCT(J$6:K$6,J7:K7)</f>
        <v>-18</v>
      </c>
      <c r="Q7" s="83">
        <v>1</v>
      </c>
      <c r="R7" s="100">
        <f>'ANOVA Match 2.1'!D5</f>
        <v>17</v>
      </c>
      <c r="S7" s="94">
        <f>'ANOVA Match 2.1'!G5</f>
        <v>34</v>
      </c>
      <c r="T7" s="78">
        <f>SUMPRODUCT(R$6:S$6,R7:S7)</f>
        <v>-17</v>
      </c>
      <c r="Y7" s="86">
        <v>1</v>
      </c>
      <c r="Z7" s="64">
        <f>K7-J7</f>
        <v>18</v>
      </c>
      <c r="AA7" s="77">
        <f>S7-R7</f>
        <v>17</v>
      </c>
      <c r="AB7" s="78">
        <f>SUMPRODUCT(Z$6:AA$6,Z7:AA7)</f>
        <v>1</v>
      </c>
    </row>
    <row r="8" spans="1:28" x14ac:dyDescent="0.25">
      <c r="A8" s="83">
        <f>A7+1</f>
        <v>2</v>
      </c>
      <c r="B8" s="115">
        <f>'ANOVA Match 2.1'!B6</f>
        <v>12</v>
      </c>
      <c r="C8" s="72">
        <f>'ANOVA Match 2.1'!E6</f>
        <v>6</v>
      </c>
      <c r="D8" s="78">
        <f t="shared" ref="D8:D16" si="0">SUMPRODUCT(B$6:C$6,B8:C8)</f>
        <v>6</v>
      </c>
      <c r="I8" s="83">
        <f>I7+1</f>
        <v>2</v>
      </c>
      <c r="J8" s="115">
        <f>'ANOVA Match 2.1'!C6</f>
        <v>19</v>
      </c>
      <c r="K8" s="72">
        <f>'ANOVA Match 2.1'!F6</f>
        <v>18</v>
      </c>
      <c r="L8" s="78">
        <f t="shared" ref="L8:L16" si="1">SUMPRODUCT(J$6:K$6,J8:K8)</f>
        <v>1</v>
      </c>
      <c r="Q8" s="83">
        <f>Q7+1</f>
        <v>2</v>
      </c>
      <c r="R8" s="115">
        <f>'ANOVA Match 2.1'!D6</f>
        <v>18</v>
      </c>
      <c r="S8" s="72">
        <f>'ANOVA Match 2.1'!G6</f>
        <v>30</v>
      </c>
      <c r="T8" s="78">
        <f t="shared" ref="T8:T16" si="2">SUMPRODUCT(R$6:S$6,R8:S8)</f>
        <v>-12</v>
      </c>
      <c r="Y8" s="86">
        <f>Y7+1</f>
        <v>2</v>
      </c>
      <c r="Z8" s="115">
        <f t="shared" ref="Z8:Z16" si="3">K8-J8</f>
        <v>-1</v>
      </c>
      <c r="AA8" s="72">
        <f t="shared" ref="AA8:AA16" si="4">S8-R8</f>
        <v>12</v>
      </c>
      <c r="AB8" s="78">
        <f t="shared" ref="AB8:AB16" si="5">SUMPRODUCT(Z$6:AA$6,Z8:AA8)</f>
        <v>-13</v>
      </c>
    </row>
    <row r="9" spans="1:28" x14ac:dyDescent="0.25">
      <c r="A9" s="83">
        <f t="shared" ref="A9:A16" si="6">A8+1</f>
        <v>3</v>
      </c>
      <c r="B9" s="115">
        <f>'ANOVA Match 2.1'!B7</f>
        <v>17</v>
      </c>
      <c r="C9" s="72">
        <f>'ANOVA Match 2.1'!E7</f>
        <v>21</v>
      </c>
      <c r="D9" s="78">
        <f t="shared" si="0"/>
        <v>-4</v>
      </c>
      <c r="I9" s="83">
        <f t="shared" ref="I9:I16" si="7">I8+1</f>
        <v>3</v>
      </c>
      <c r="J9" s="115">
        <f>'ANOVA Match 2.1'!C7</f>
        <v>19</v>
      </c>
      <c r="K9" s="72">
        <f>'ANOVA Match 2.1'!F7</f>
        <v>31</v>
      </c>
      <c r="L9" s="78">
        <f t="shared" si="1"/>
        <v>-12</v>
      </c>
      <c r="Q9" s="83">
        <f t="shared" ref="Q9:Q16" si="8">Q8+1</f>
        <v>3</v>
      </c>
      <c r="R9" s="115">
        <f>'ANOVA Match 2.1'!D7</f>
        <v>24</v>
      </c>
      <c r="S9" s="72">
        <f>'ANOVA Match 2.1'!G7</f>
        <v>32</v>
      </c>
      <c r="T9" s="78">
        <f t="shared" si="2"/>
        <v>-8</v>
      </c>
      <c r="Y9" s="86">
        <f t="shared" ref="Y9:Y16" si="9">Y8+1</f>
        <v>3</v>
      </c>
      <c r="Z9" s="115">
        <f t="shared" si="3"/>
        <v>12</v>
      </c>
      <c r="AA9" s="72">
        <f t="shared" si="4"/>
        <v>8</v>
      </c>
      <c r="AB9" s="78">
        <f t="shared" si="5"/>
        <v>4</v>
      </c>
    </row>
    <row r="10" spans="1:28" x14ac:dyDescent="0.25">
      <c r="A10" s="83">
        <f t="shared" si="6"/>
        <v>4</v>
      </c>
      <c r="B10" s="115">
        <f>'ANOVA Match 2.1'!B8</f>
        <v>12</v>
      </c>
      <c r="C10" s="72">
        <f>'ANOVA Match 2.1'!E8</f>
        <v>18</v>
      </c>
      <c r="D10" s="78">
        <f t="shared" si="0"/>
        <v>-6</v>
      </c>
      <c r="I10" s="83">
        <f t="shared" si="7"/>
        <v>4</v>
      </c>
      <c r="J10" s="115">
        <f>'ANOVA Match 2.1'!C8</f>
        <v>25</v>
      </c>
      <c r="K10" s="72">
        <f>'ANOVA Match 2.1'!F8</f>
        <v>39</v>
      </c>
      <c r="L10" s="78">
        <f t="shared" si="1"/>
        <v>-14</v>
      </c>
      <c r="Q10" s="83">
        <f t="shared" si="8"/>
        <v>4</v>
      </c>
      <c r="R10" s="115">
        <f>'ANOVA Match 2.1'!D8</f>
        <v>25</v>
      </c>
      <c r="S10" s="72">
        <f>'ANOVA Match 2.1'!G8</f>
        <v>40</v>
      </c>
      <c r="T10" s="78">
        <f t="shared" si="2"/>
        <v>-15</v>
      </c>
      <c r="Y10" s="86">
        <f t="shared" si="9"/>
        <v>4</v>
      </c>
      <c r="Z10" s="115">
        <f t="shared" si="3"/>
        <v>14</v>
      </c>
      <c r="AA10" s="72">
        <f t="shared" si="4"/>
        <v>15</v>
      </c>
      <c r="AB10" s="78">
        <f t="shared" si="5"/>
        <v>-1</v>
      </c>
    </row>
    <row r="11" spans="1:28" x14ac:dyDescent="0.25">
      <c r="A11" s="83">
        <f t="shared" si="6"/>
        <v>5</v>
      </c>
      <c r="B11" s="115">
        <f>'ANOVA Match 2.1'!B9</f>
        <v>19</v>
      </c>
      <c r="C11" s="72">
        <f>'ANOVA Match 2.1'!E9</f>
        <v>18</v>
      </c>
      <c r="D11" s="78">
        <f t="shared" si="0"/>
        <v>1</v>
      </c>
      <c r="I11" s="83">
        <f t="shared" si="7"/>
        <v>5</v>
      </c>
      <c r="J11" s="115">
        <f>'ANOVA Match 2.1'!C9</f>
        <v>27</v>
      </c>
      <c r="K11" s="72">
        <f>'ANOVA Match 2.1'!F9</f>
        <v>28</v>
      </c>
      <c r="L11" s="78">
        <f t="shared" si="1"/>
        <v>-1</v>
      </c>
      <c r="Q11" s="83">
        <f t="shared" si="8"/>
        <v>5</v>
      </c>
      <c r="R11" s="115">
        <f>'ANOVA Match 2.1'!D9</f>
        <v>19</v>
      </c>
      <c r="S11" s="72">
        <f>'ANOVA Match 2.1'!G9</f>
        <v>27</v>
      </c>
      <c r="T11" s="78">
        <f t="shared" si="2"/>
        <v>-8</v>
      </c>
      <c r="Y11" s="86">
        <f t="shared" si="9"/>
        <v>5</v>
      </c>
      <c r="Z11" s="115">
        <f t="shared" si="3"/>
        <v>1</v>
      </c>
      <c r="AA11" s="72">
        <f t="shared" si="4"/>
        <v>8</v>
      </c>
      <c r="AB11" s="78">
        <f t="shared" si="5"/>
        <v>-7</v>
      </c>
    </row>
    <row r="12" spans="1:28" x14ac:dyDescent="0.25">
      <c r="A12" s="83">
        <f t="shared" si="6"/>
        <v>6</v>
      </c>
      <c r="B12" s="115">
        <f>'ANOVA Match 2.1'!B10</f>
        <v>6</v>
      </c>
      <c r="C12" s="72">
        <f>'ANOVA Match 2.1'!E10</f>
        <v>6</v>
      </c>
      <c r="D12" s="78">
        <f t="shared" si="0"/>
        <v>0</v>
      </c>
      <c r="I12" s="83">
        <f t="shared" si="7"/>
        <v>6</v>
      </c>
      <c r="J12" s="115">
        <f>'ANOVA Match 2.1'!C10</f>
        <v>12</v>
      </c>
      <c r="K12" s="72">
        <f>'ANOVA Match 2.1'!F10</f>
        <v>18</v>
      </c>
      <c r="L12" s="78">
        <f t="shared" si="1"/>
        <v>-6</v>
      </c>
      <c r="Q12" s="83">
        <f t="shared" si="8"/>
        <v>6</v>
      </c>
      <c r="R12" s="115">
        <f>'ANOVA Match 2.1'!D10</f>
        <v>6</v>
      </c>
      <c r="S12" s="72">
        <f>'ANOVA Match 2.1'!G10</f>
        <v>23</v>
      </c>
      <c r="T12" s="78">
        <f t="shared" si="2"/>
        <v>-17</v>
      </c>
      <c r="Y12" s="86">
        <f t="shared" si="9"/>
        <v>6</v>
      </c>
      <c r="Z12" s="115">
        <f t="shared" si="3"/>
        <v>6</v>
      </c>
      <c r="AA12" s="72">
        <f t="shared" si="4"/>
        <v>17</v>
      </c>
      <c r="AB12" s="78">
        <f t="shared" si="5"/>
        <v>-11</v>
      </c>
    </row>
    <row r="13" spans="1:28" x14ac:dyDescent="0.25">
      <c r="A13" s="83">
        <f t="shared" si="6"/>
        <v>7</v>
      </c>
      <c r="B13" s="115">
        <f>'ANOVA Match 2.1'!B11</f>
        <v>17</v>
      </c>
      <c r="C13" s="72">
        <f>'ANOVA Match 2.1'!E11</f>
        <v>24</v>
      </c>
      <c r="D13" s="78">
        <f t="shared" si="0"/>
        <v>-7</v>
      </c>
      <c r="I13" s="83">
        <f t="shared" si="7"/>
        <v>7</v>
      </c>
      <c r="J13" s="115">
        <f>'ANOVA Match 2.1'!C11</f>
        <v>18</v>
      </c>
      <c r="K13" s="72">
        <f>'ANOVA Match 2.1'!F11</f>
        <v>36</v>
      </c>
      <c r="L13" s="78">
        <f t="shared" si="1"/>
        <v>-18</v>
      </c>
      <c r="Q13" s="83">
        <f t="shared" si="8"/>
        <v>7</v>
      </c>
      <c r="R13" s="115">
        <f>'ANOVA Match 2.1'!D11</f>
        <v>30</v>
      </c>
      <c r="S13" s="72">
        <f>'ANOVA Match 2.1'!G11</f>
        <v>38</v>
      </c>
      <c r="T13" s="78">
        <f t="shared" si="2"/>
        <v>-8</v>
      </c>
      <c r="Y13" s="86">
        <f t="shared" si="9"/>
        <v>7</v>
      </c>
      <c r="Z13" s="115">
        <f t="shared" si="3"/>
        <v>18</v>
      </c>
      <c r="AA13" s="72">
        <f t="shared" si="4"/>
        <v>8</v>
      </c>
      <c r="AB13" s="78">
        <f t="shared" si="5"/>
        <v>10</v>
      </c>
    </row>
    <row r="14" spans="1:28" x14ac:dyDescent="0.25">
      <c r="A14" s="83">
        <f t="shared" si="6"/>
        <v>8</v>
      </c>
      <c r="B14" s="115">
        <f>'ANOVA Match 2.1'!B12</f>
        <v>18</v>
      </c>
      <c r="C14" s="72">
        <f>'ANOVA Match 2.1'!E12</f>
        <v>22</v>
      </c>
      <c r="D14" s="78">
        <f t="shared" si="0"/>
        <v>-4</v>
      </c>
      <c r="I14" s="83">
        <f t="shared" si="7"/>
        <v>8</v>
      </c>
      <c r="J14" s="115">
        <f>'ANOVA Match 2.1'!C12</f>
        <v>29</v>
      </c>
      <c r="K14" s="72">
        <f>'ANOVA Match 2.1'!F12</f>
        <v>36</v>
      </c>
      <c r="L14" s="78">
        <f t="shared" si="1"/>
        <v>-7</v>
      </c>
      <c r="Q14" s="83">
        <f t="shared" si="8"/>
        <v>8</v>
      </c>
      <c r="R14" s="115">
        <f>'ANOVA Match 2.1'!D12</f>
        <v>36</v>
      </c>
      <c r="S14" s="72">
        <f>'ANOVA Match 2.1'!G12</f>
        <v>40</v>
      </c>
      <c r="T14" s="78">
        <f t="shared" si="2"/>
        <v>-4</v>
      </c>
      <c r="Y14" s="86">
        <f t="shared" si="9"/>
        <v>8</v>
      </c>
      <c r="Z14" s="115">
        <f t="shared" si="3"/>
        <v>7</v>
      </c>
      <c r="AA14" s="72">
        <f t="shared" si="4"/>
        <v>4</v>
      </c>
      <c r="AB14" s="78">
        <f t="shared" si="5"/>
        <v>3</v>
      </c>
    </row>
    <row r="15" spans="1:28" x14ac:dyDescent="0.25">
      <c r="A15" s="83">
        <f t="shared" si="6"/>
        <v>9</v>
      </c>
      <c r="B15" s="115">
        <f>'ANOVA Match 2.1'!B13</f>
        <v>23</v>
      </c>
      <c r="C15" s="72">
        <f>'ANOVA Match 2.1'!E13</f>
        <v>18</v>
      </c>
      <c r="D15" s="78">
        <f t="shared" si="0"/>
        <v>5</v>
      </c>
      <c r="I15" s="83">
        <f t="shared" si="7"/>
        <v>9</v>
      </c>
      <c r="J15" s="115">
        <f>'ANOVA Match 2.1'!C13</f>
        <v>30</v>
      </c>
      <c r="K15" s="72">
        <f>'ANOVA Match 2.1'!F13</f>
        <v>38</v>
      </c>
      <c r="L15" s="78">
        <f t="shared" si="1"/>
        <v>-8</v>
      </c>
      <c r="Q15" s="83">
        <f t="shared" si="8"/>
        <v>9</v>
      </c>
      <c r="R15" s="115">
        <f>'ANOVA Match 2.1'!D13</f>
        <v>24</v>
      </c>
      <c r="S15" s="72">
        <f>'ANOVA Match 2.1'!G13</f>
        <v>32</v>
      </c>
      <c r="T15" s="78">
        <f t="shared" si="2"/>
        <v>-8</v>
      </c>
      <c r="Y15" s="86">
        <f t="shared" si="9"/>
        <v>9</v>
      </c>
      <c r="Z15" s="115">
        <f t="shared" si="3"/>
        <v>8</v>
      </c>
      <c r="AA15" s="72">
        <f t="shared" si="4"/>
        <v>8</v>
      </c>
      <c r="AB15" s="78">
        <f t="shared" si="5"/>
        <v>0</v>
      </c>
    </row>
    <row r="16" spans="1:28" x14ac:dyDescent="0.25">
      <c r="A16" s="83">
        <f t="shared" si="6"/>
        <v>10</v>
      </c>
      <c r="B16" s="62">
        <f>'ANOVA Match 2.1'!B14</f>
        <v>18</v>
      </c>
      <c r="C16" s="54">
        <f>'ANOVA Match 2.1'!E14</f>
        <v>24</v>
      </c>
      <c r="D16" s="78">
        <f t="shared" si="0"/>
        <v>-6</v>
      </c>
      <c r="I16" s="83">
        <f t="shared" si="7"/>
        <v>10</v>
      </c>
      <c r="J16" s="62">
        <f>'ANOVA Match 2.1'!C14</f>
        <v>12</v>
      </c>
      <c r="K16" s="54">
        <f>'ANOVA Match 2.1'!F14</f>
        <v>25</v>
      </c>
      <c r="L16" s="78">
        <f t="shared" si="1"/>
        <v>-13</v>
      </c>
      <c r="Q16" s="83">
        <f t="shared" si="8"/>
        <v>10</v>
      </c>
      <c r="R16" s="62">
        <f>'ANOVA Match 2.1'!D14</f>
        <v>24</v>
      </c>
      <c r="S16" s="54">
        <f>'ANOVA Match 2.1'!G14</f>
        <v>34</v>
      </c>
      <c r="T16" s="78">
        <f t="shared" si="2"/>
        <v>-10</v>
      </c>
      <c r="Y16" s="86">
        <f t="shared" si="9"/>
        <v>10</v>
      </c>
      <c r="Z16" s="62">
        <f t="shared" si="3"/>
        <v>13</v>
      </c>
      <c r="AA16" s="54">
        <f t="shared" si="4"/>
        <v>10</v>
      </c>
      <c r="AB16" s="78">
        <f t="shared" si="5"/>
        <v>3</v>
      </c>
    </row>
    <row r="17" spans="1:31" x14ac:dyDescent="0.25">
      <c r="A17" s="83" t="s">
        <v>6</v>
      </c>
      <c r="D17" s="95">
        <f>AVERAGE(D7:D16)</f>
        <v>-2</v>
      </c>
      <c r="I17" s="83" t="s">
        <v>6</v>
      </c>
      <c r="L17" s="95">
        <f>AVERAGE(L7:L16)</f>
        <v>-9.6</v>
      </c>
      <c r="Q17" s="83" t="s">
        <v>6</v>
      </c>
      <c r="T17" s="95">
        <f>AVERAGE(T7:T16)</f>
        <v>-10.7</v>
      </c>
      <c r="Y17" s="86" t="s">
        <v>6</v>
      </c>
      <c r="AB17" s="95">
        <f>AVERAGE(AB7:AB16)</f>
        <v>-1.1000000000000001</v>
      </c>
    </row>
    <row r="18" spans="1:31" x14ac:dyDescent="0.25">
      <c r="A18" s="83" t="s">
        <v>46</v>
      </c>
      <c r="D18" s="78">
        <f>STDEV(D7:D16)</f>
        <v>4.714045207910317</v>
      </c>
      <c r="I18" s="83" t="s">
        <v>46</v>
      </c>
      <c r="L18" s="78">
        <f>STDEV(L7:L16)</f>
        <v>6.5523532668296607</v>
      </c>
      <c r="Q18" s="83" t="s">
        <v>46</v>
      </c>
      <c r="T18" s="78">
        <f>STDEV(T7:T16)</f>
        <v>4.3982319680121957</v>
      </c>
      <c r="Y18" s="86" t="s">
        <v>46</v>
      </c>
      <c r="AB18" s="78">
        <f>STDEV(AB7:AB16)</f>
        <v>7.1717036562683854</v>
      </c>
    </row>
    <row r="19" spans="1:31" x14ac:dyDescent="0.25">
      <c r="A19" s="83" t="s">
        <v>183</v>
      </c>
      <c r="D19" s="58">
        <f>D18/SQRT(COUNTA($A$5:$A$14))</f>
        <v>1.4907119849998598</v>
      </c>
      <c r="I19" s="83" t="s">
        <v>183</v>
      </c>
      <c r="L19" s="58">
        <f>L18/SQRT(COUNTA($A$5:$A$14))</f>
        <v>2.0720360357226735</v>
      </c>
      <c r="Q19" s="83" t="s">
        <v>183</v>
      </c>
      <c r="T19" s="58">
        <f>T18/SQRT(COUNTA($A$5:$A$14))</f>
        <v>1.3908430696683372</v>
      </c>
      <c r="Y19" s="86" t="s">
        <v>183</v>
      </c>
      <c r="AB19" s="58">
        <f>AB18/SQRT(COUNTA($A$5:$A$14))</f>
        <v>2.2678918257565401</v>
      </c>
    </row>
    <row r="21" spans="1:31" ht="15.75" thickBot="1" x14ac:dyDescent="0.3">
      <c r="A21" t="s">
        <v>110</v>
      </c>
      <c r="I21" t="s">
        <v>110</v>
      </c>
      <c r="Q21" t="s">
        <v>110</v>
      </c>
      <c r="Y21" t="s">
        <v>110</v>
      </c>
    </row>
    <row r="22" spans="1:31" x14ac:dyDescent="0.25">
      <c r="A22" s="84" t="s">
        <v>6</v>
      </c>
      <c r="B22" s="84" t="s">
        <v>73</v>
      </c>
      <c r="C22" s="84" t="s">
        <v>184</v>
      </c>
      <c r="D22" s="84" t="s">
        <v>37</v>
      </c>
      <c r="E22" s="81" t="s">
        <v>43</v>
      </c>
      <c r="F22" s="81" t="s">
        <v>191</v>
      </c>
      <c r="G22" s="81" t="s">
        <v>192</v>
      </c>
      <c r="I22" s="84" t="s">
        <v>6</v>
      </c>
      <c r="J22" s="84" t="s">
        <v>73</v>
      </c>
      <c r="K22" s="84" t="s">
        <v>184</v>
      </c>
      <c r="L22" s="84" t="s">
        <v>37</v>
      </c>
      <c r="M22" s="81" t="s">
        <v>43</v>
      </c>
      <c r="N22" s="81" t="s">
        <v>191</v>
      </c>
      <c r="O22" s="81" t="s">
        <v>192</v>
      </c>
      <c r="Q22" s="84" t="s">
        <v>6</v>
      </c>
      <c r="R22" s="84" t="s">
        <v>73</v>
      </c>
      <c r="S22" s="84" t="s">
        <v>184</v>
      </c>
      <c r="T22" s="84" t="s">
        <v>37</v>
      </c>
      <c r="U22" s="81" t="s">
        <v>43</v>
      </c>
      <c r="V22" s="81" t="s">
        <v>191</v>
      </c>
      <c r="W22" s="81" t="s">
        <v>192</v>
      </c>
      <c r="Y22" s="87" t="s">
        <v>6</v>
      </c>
      <c r="Z22" s="87" t="s">
        <v>73</v>
      </c>
      <c r="AA22" s="87" t="s">
        <v>184</v>
      </c>
      <c r="AB22" s="87" t="s">
        <v>37</v>
      </c>
      <c r="AC22" s="81" t="s">
        <v>43</v>
      </c>
      <c r="AD22" s="81" t="s">
        <v>191</v>
      </c>
      <c r="AE22" s="81" t="s">
        <v>192</v>
      </c>
    </row>
    <row r="23" spans="1:31" ht="15.75" thickBot="1" x14ac:dyDescent="0.3">
      <c r="A23" s="19">
        <f>D17</f>
        <v>-2</v>
      </c>
      <c r="B23" s="19">
        <f>D19</f>
        <v>1.4907119849998598</v>
      </c>
      <c r="C23" s="19">
        <f>A23/B23</f>
        <v>-1.3416407864998738</v>
      </c>
      <c r="D23" s="82">
        <f>A16-1</f>
        <v>9</v>
      </c>
      <c r="E23" s="19">
        <f>TDIST(ABS(C23),D23,2)</f>
        <v>0.21257989232273572</v>
      </c>
      <c r="F23" s="19">
        <f>ABS(D17/D18)</f>
        <v>0.42426406871192851</v>
      </c>
      <c r="G23" s="19">
        <f>SQRT(C23^2/(C23^2+D23))</f>
        <v>0.40824829046386302</v>
      </c>
      <c r="I23" s="19">
        <f>L17</f>
        <v>-9.6</v>
      </c>
      <c r="J23" s="19">
        <f>L19</f>
        <v>2.0720360357226735</v>
      </c>
      <c r="K23" s="19">
        <f>I23/J23</f>
        <v>-4.6331240550320656</v>
      </c>
      <c r="L23" s="82">
        <f>I16-1</f>
        <v>9</v>
      </c>
      <c r="M23" s="19">
        <f>TDIST(ABS(K23),L23,2)</f>
        <v>1.2312062054452308E-3</v>
      </c>
      <c r="N23" s="19">
        <f>ABS(L17/L18)</f>
        <v>1.4651224696016634</v>
      </c>
      <c r="O23" s="19">
        <f>SQRT(K23^2/(K23^2+L23))</f>
        <v>0.83939690013920276</v>
      </c>
      <c r="Q23" s="19">
        <f>T17</f>
        <v>-10.7</v>
      </c>
      <c r="R23" s="19">
        <f>T19</f>
        <v>1.3908430696683372</v>
      </c>
      <c r="S23" s="19">
        <f>Q23/R23</f>
        <v>-7.6931756237255007</v>
      </c>
      <c r="T23" s="82">
        <f>Q16-1</f>
        <v>9</v>
      </c>
      <c r="U23" s="19">
        <f>TDIST(ABS(S23),T23,2)</f>
        <v>3.0211257637859244E-5</v>
      </c>
      <c r="V23" s="19">
        <f>ABS(T17/T18)</f>
        <v>2.4327957410659087</v>
      </c>
      <c r="W23" s="19">
        <f>SQRT(S23^2/(S23^2+T23))</f>
        <v>0.9316684309350135</v>
      </c>
      <c r="Y23" s="19">
        <f>AB17</f>
        <v>-1.1000000000000001</v>
      </c>
      <c r="Z23" s="19">
        <f>AB19</f>
        <v>2.2678918257565401</v>
      </c>
      <c r="AA23" s="19">
        <f>Y23/Z23</f>
        <v>-0.48503195236530028</v>
      </c>
      <c r="AB23" s="82">
        <f>Y16-1</f>
        <v>9</v>
      </c>
      <c r="AC23" s="19">
        <f>TDIST(ABS(AA23),AB23,2)</f>
        <v>0.63924107339333402</v>
      </c>
      <c r="AD23" s="19">
        <f>ABS(AB17/AB18)</f>
        <v>0.15338057074326428</v>
      </c>
      <c r="AE23" s="19">
        <f>SQRT(AA23^2/(AA23^2+AB23))</f>
        <v>0.15960477502420259</v>
      </c>
    </row>
    <row r="26" spans="1:31" x14ac:dyDescent="0.25">
      <c r="A26" s="1" t="s">
        <v>97</v>
      </c>
    </row>
    <row r="27" spans="1:31" x14ac:dyDescent="0.25">
      <c r="A27" s="1"/>
    </row>
    <row r="28" spans="1:31" x14ac:dyDescent="0.25">
      <c r="B28" t="s">
        <v>232</v>
      </c>
      <c r="C28" t="s">
        <v>233</v>
      </c>
      <c r="D28" t="s">
        <v>234</v>
      </c>
    </row>
    <row r="29" spans="1:31" x14ac:dyDescent="0.25">
      <c r="A29" t="s">
        <v>237</v>
      </c>
      <c r="B29" s="102">
        <f>'ANOVA Match 2.1'!B15</f>
        <v>15.5</v>
      </c>
      <c r="C29" s="103">
        <f>'ANOVA Match 2.1'!C15</f>
        <v>20.3</v>
      </c>
      <c r="D29" s="104">
        <f>'ANOVA Match 2.1'!D15</f>
        <v>22.3</v>
      </c>
    </row>
    <row r="30" spans="1:31" x14ac:dyDescent="0.25">
      <c r="A30" t="s">
        <v>238</v>
      </c>
      <c r="B30" s="52">
        <f>'ANOVA Match 2.1'!E15</f>
        <v>17.5</v>
      </c>
      <c r="C30" s="53">
        <f>'ANOVA Match 2.1'!F15</f>
        <v>29.9</v>
      </c>
      <c r="D30" s="56">
        <f>'ANOVA Match 2.1'!G15</f>
        <v>33</v>
      </c>
    </row>
    <row r="40" spans="1:2" x14ac:dyDescent="0.25">
      <c r="A40" s="1" t="s">
        <v>112</v>
      </c>
    </row>
    <row r="42" spans="1:2" x14ac:dyDescent="0.25">
      <c r="A42" t="s">
        <v>256</v>
      </c>
    </row>
    <row r="44" spans="1:2" x14ac:dyDescent="0.25">
      <c r="A44" t="s">
        <v>21</v>
      </c>
      <c r="B44" s="105">
        <f>COUNTA(A29:A30)</f>
        <v>2</v>
      </c>
    </row>
    <row r="45" spans="1:2" x14ac:dyDescent="0.25">
      <c r="A45" t="s">
        <v>22</v>
      </c>
      <c r="B45" s="78">
        <f>COUNTA(B28:D28)</f>
        <v>3</v>
      </c>
    </row>
    <row r="46" spans="1:2" x14ac:dyDescent="0.25">
      <c r="A46" t="s">
        <v>34</v>
      </c>
      <c r="B46" s="78">
        <f>B44*B45</f>
        <v>6</v>
      </c>
    </row>
    <row r="47" spans="1:2" x14ac:dyDescent="0.25">
      <c r="A47" t="s">
        <v>16</v>
      </c>
      <c r="B47" s="78">
        <f>COUNTA(A7:A16)</f>
        <v>10</v>
      </c>
    </row>
    <row r="48" spans="1:2" x14ac:dyDescent="0.25">
      <c r="A48" t="s">
        <v>37</v>
      </c>
      <c r="B48" s="78">
        <f>B47-1</f>
        <v>9</v>
      </c>
    </row>
    <row r="49" spans="1:2" x14ac:dyDescent="0.25">
      <c r="A49" s="22" t="s">
        <v>28</v>
      </c>
      <c r="B49" s="78">
        <v>0.05</v>
      </c>
    </row>
    <row r="50" spans="1:2" x14ac:dyDescent="0.25">
      <c r="A50" s="22" t="s">
        <v>113</v>
      </c>
      <c r="B50" s="78">
        <f>'Stud. Q Table'!F64</f>
        <v>5.024</v>
      </c>
    </row>
    <row r="51" spans="1:2" x14ac:dyDescent="0.25">
      <c r="A51" s="22" t="s">
        <v>44</v>
      </c>
      <c r="B51" s="78">
        <f>B50/SQRT(2)</f>
        <v>3.5525044686812146</v>
      </c>
    </row>
    <row r="52" spans="1:2" x14ac:dyDescent="0.25">
      <c r="A52" s="22" t="s">
        <v>257</v>
      </c>
      <c r="B52" s="78">
        <f>C23</f>
        <v>-1.3416407864998738</v>
      </c>
    </row>
    <row r="53" spans="1:2" x14ac:dyDescent="0.25">
      <c r="A53" s="22" t="s">
        <v>111</v>
      </c>
      <c r="B53" s="55" t="str">
        <f>IF(ABS(B52)&gt;B51,"yes","no")</f>
        <v>no</v>
      </c>
    </row>
  </sheetData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3"/>
  <dimension ref="A1:CS104"/>
  <sheetViews>
    <sheetView workbookViewId="0">
      <selection activeCell="Q17" sqref="Q17"/>
    </sheetView>
  </sheetViews>
  <sheetFormatPr defaultRowHeight="15" x14ac:dyDescent="0.25"/>
  <cols>
    <col min="2" max="7" width="6.5703125" customWidth="1"/>
    <col min="10" max="15" width="9.140625" customWidth="1"/>
    <col min="17" max="17" width="17.28515625" customWidth="1"/>
    <col min="18" max="19" width="9.140625" customWidth="1"/>
    <col min="23" max="23" width="20.5703125" customWidth="1"/>
    <col min="28" max="28" width="9.140625" customWidth="1"/>
    <col min="35" max="35" width="17.140625" customWidth="1"/>
    <col min="40" max="40" width="8.7109375" customWidth="1"/>
    <col min="49" max="49" width="6.5703125" customWidth="1"/>
    <col min="50" max="50" width="16.42578125" customWidth="1"/>
    <col min="51" max="51" width="10" bestFit="1" customWidth="1"/>
    <col min="52" max="52" width="10.140625" customWidth="1"/>
    <col min="53" max="53" width="16.42578125" customWidth="1"/>
    <col min="72" max="72" width="7" customWidth="1"/>
    <col min="76" max="76" width="3.7109375" style="43" customWidth="1"/>
    <col min="77" max="79" width="9.140625" style="43"/>
    <col min="80" max="80" width="3.7109375" customWidth="1"/>
    <col min="81" max="81" width="16.85546875" customWidth="1"/>
    <col min="89" max="89" width="10.42578125" customWidth="1"/>
    <col min="90" max="90" width="11" customWidth="1"/>
    <col min="93" max="97" width="11.5703125" customWidth="1"/>
  </cols>
  <sheetData>
    <row r="1" spans="1:97" x14ac:dyDescent="0.25">
      <c r="A1" s="1" t="s">
        <v>293</v>
      </c>
    </row>
    <row r="3" spans="1:97" x14ac:dyDescent="0.25">
      <c r="A3" s="65" t="s">
        <v>2</v>
      </c>
      <c r="B3" s="12" t="s">
        <v>269</v>
      </c>
      <c r="C3" s="12" t="s">
        <v>270</v>
      </c>
      <c r="D3" s="12" t="s">
        <v>271</v>
      </c>
      <c r="E3" s="12" t="s">
        <v>272</v>
      </c>
      <c r="F3" s="12" t="s">
        <v>273</v>
      </c>
      <c r="G3" s="12" t="s">
        <v>8</v>
      </c>
      <c r="I3" t="s">
        <v>133</v>
      </c>
      <c r="Q3" t="s">
        <v>239</v>
      </c>
      <c r="AI3" t="s">
        <v>332</v>
      </c>
      <c r="AQ3" t="s">
        <v>264</v>
      </c>
      <c r="AX3" t="s">
        <v>266</v>
      </c>
      <c r="BD3" t="s">
        <v>136</v>
      </c>
      <c r="BU3" t="s">
        <v>311</v>
      </c>
      <c r="CK3" t="s">
        <v>313</v>
      </c>
      <c r="CO3" s="86" t="s">
        <v>317</v>
      </c>
      <c r="CP3" s="86" t="s">
        <v>318</v>
      </c>
      <c r="CQ3" s="86" t="s">
        <v>326</v>
      </c>
      <c r="CR3" s="86" t="s">
        <v>327</v>
      </c>
      <c r="CS3" s="86" t="s">
        <v>328</v>
      </c>
    </row>
    <row r="4" spans="1:97" ht="15.75" thickBot="1" x14ac:dyDescent="0.3">
      <c r="A4" s="102" t="s">
        <v>267</v>
      </c>
      <c r="B4" s="119">
        <v>250</v>
      </c>
      <c r="C4" s="120">
        <v>278</v>
      </c>
      <c r="D4" s="120">
        <v>442</v>
      </c>
      <c r="E4" s="120">
        <v>368</v>
      </c>
      <c r="F4" s="121">
        <v>456</v>
      </c>
      <c r="G4" s="7">
        <f>AVERAGE(B4:F4)</f>
        <v>358.8</v>
      </c>
      <c r="J4" s="116" t="s">
        <v>2</v>
      </c>
      <c r="K4" s="116" t="s">
        <v>274</v>
      </c>
      <c r="L4" s="116" t="s">
        <v>35</v>
      </c>
      <c r="R4" s="12" t="s">
        <v>75</v>
      </c>
      <c r="S4" s="12" t="s">
        <v>76</v>
      </c>
      <c r="T4" s="12" t="s">
        <v>37</v>
      </c>
      <c r="U4" s="12" t="s">
        <v>78</v>
      </c>
      <c r="W4" t="s">
        <v>84</v>
      </c>
      <c r="AE4" t="s">
        <v>258</v>
      </c>
      <c r="CN4" t="s">
        <v>267</v>
      </c>
      <c r="CO4" s="61" t="e">
        <f ca="1">MDETERM(AR15:AV19)</f>
        <v>#NAME?</v>
      </c>
      <c r="CP4" s="117" t="e">
        <f ca="1">LN(CO4)</f>
        <v>#NAME?</v>
      </c>
      <c r="CQ4" s="117" t="e">
        <f ca="1">CP4*($CL$7-1)</f>
        <v>#NAME?</v>
      </c>
      <c r="CR4" s="117">
        <f>1/($CL$7-1)</f>
        <v>0.16666666666666666</v>
      </c>
      <c r="CS4" s="118">
        <f>CR4^2</f>
        <v>2.7777777777777776E-2</v>
      </c>
    </row>
    <row r="5" spans="1:97" ht="15.75" thickBot="1" x14ac:dyDescent="0.3">
      <c r="A5" s="107"/>
      <c r="B5" s="122">
        <v>65</v>
      </c>
      <c r="C5" s="123">
        <v>207</v>
      </c>
      <c r="D5" s="123">
        <v>341</v>
      </c>
      <c r="E5" s="123">
        <v>382</v>
      </c>
      <c r="F5" s="124">
        <v>298</v>
      </c>
      <c r="G5" s="7">
        <f t="shared" ref="G5:G24" si="0">AVERAGE(B5:F5)</f>
        <v>258.60000000000002</v>
      </c>
      <c r="J5" s="116">
        <f>COUNT(O9:O11)</f>
        <v>3</v>
      </c>
      <c r="K5" s="116">
        <f>COUNT(J12:N12)</f>
        <v>5</v>
      </c>
      <c r="L5" s="116">
        <f>COUNT(B4:B10)</f>
        <v>7</v>
      </c>
      <c r="Q5" s="34" t="s">
        <v>1</v>
      </c>
      <c r="R5" s="102">
        <v>1</v>
      </c>
      <c r="S5" s="103">
        <f>DEVSQ(B4:F24)</f>
        <v>1597343.4285714282</v>
      </c>
      <c r="T5" s="103">
        <f>J5*K5*L5-1</f>
        <v>104</v>
      </c>
      <c r="U5" s="104">
        <f t="shared" ref="U5:U13" si="1">S5/T5</f>
        <v>15359.071428571424</v>
      </c>
      <c r="W5" s="84" t="s">
        <v>107</v>
      </c>
      <c r="X5" s="84" t="s">
        <v>76</v>
      </c>
      <c r="Y5" s="84" t="s">
        <v>37</v>
      </c>
      <c r="Z5" s="84" t="s">
        <v>78</v>
      </c>
      <c r="AA5" s="84" t="s">
        <v>68</v>
      </c>
      <c r="AB5" s="84" t="s">
        <v>62</v>
      </c>
      <c r="AC5" s="84" t="s">
        <v>108</v>
      </c>
      <c r="AI5" t="s">
        <v>286</v>
      </c>
      <c r="AR5">
        <v>1</v>
      </c>
      <c r="AS5">
        <f>AR5+1</f>
        <v>2</v>
      </c>
      <c r="AT5">
        <f>AS5+1</f>
        <v>3</v>
      </c>
      <c r="AU5">
        <f>AT5+1</f>
        <v>4</v>
      </c>
      <c r="AV5">
        <f>AU5+1</f>
        <v>5</v>
      </c>
      <c r="AX5" t="s">
        <v>149</v>
      </c>
      <c r="AY5" s="95">
        <f>$K$5</f>
        <v>5</v>
      </c>
      <c r="BA5" t="s">
        <v>148</v>
      </c>
      <c r="BB5" s="105">
        <f>$L$5*$J$5</f>
        <v>21</v>
      </c>
      <c r="BD5" s="86" t="s">
        <v>267</v>
      </c>
      <c r="BE5" s="86" t="s">
        <v>268</v>
      </c>
      <c r="BF5" s="86" t="s">
        <v>45</v>
      </c>
      <c r="BI5" s="86" t="s">
        <v>267</v>
      </c>
      <c r="BJ5" s="86" t="s">
        <v>268</v>
      </c>
      <c r="BK5" s="86" t="s">
        <v>45</v>
      </c>
      <c r="BU5" t="s">
        <v>269</v>
      </c>
      <c r="CC5" t="s">
        <v>105</v>
      </c>
      <c r="CK5" t="s">
        <v>314</v>
      </c>
      <c r="CL5">
        <f>J5</f>
        <v>3</v>
      </c>
      <c r="CN5" t="s">
        <v>268</v>
      </c>
      <c r="CO5" s="107" t="e">
        <f ca="1">MDETERM(AR24:AV28)</f>
        <v>#NAME?</v>
      </c>
      <c r="CP5" s="7" t="e">
        <f ca="1">LN(CO5)</f>
        <v>#NAME?</v>
      </c>
      <c r="CQ5" s="7" t="e">
        <f ca="1">CP5*($CL$7-1)</f>
        <v>#NAME?</v>
      </c>
      <c r="CR5" s="7">
        <f>1/($CL$7-1)</f>
        <v>0.16666666666666666</v>
      </c>
      <c r="CS5" s="108">
        <f>CR5^2</f>
        <v>2.7777777777777776E-2</v>
      </c>
    </row>
    <row r="6" spans="1:97" x14ac:dyDescent="0.25">
      <c r="A6" s="107"/>
      <c r="B6" s="122">
        <v>251</v>
      </c>
      <c r="C6" s="123">
        <v>261</v>
      </c>
      <c r="D6" s="123">
        <v>384</v>
      </c>
      <c r="E6" s="123">
        <v>421</v>
      </c>
      <c r="F6" s="124">
        <v>342</v>
      </c>
      <c r="G6" s="7">
        <f t="shared" si="0"/>
        <v>331.8</v>
      </c>
      <c r="Q6" s="34" t="s">
        <v>2</v>
      </c>
      <c r="R6" s="107">
        <f>K5*L5</f>
        <v>35</v>
      </c>
      <c r="S6" s="7">
        <f>DEVSQ(O9:O11)*R6</f>
        <v>178358.11428571431</v>
      </c>
      <c r="T6">
        <f>J5-1</f>
        <v>2</v>
      </c>
      <c r="U6" s="108">
        <f t="shared" si="1"/>
        <v>89179.057142857157</v>
      </c>
      <c r="W6" t="s">
        <v>259</v>
      </c>
      <c r="X6">
        <f>S9</f>
        <v>371727.82857142854</v>
      </c>
      <c r="Y6">
        <f>T9</f>
        <v>20</v>
      </c>
      <c r="AE6" s="12" t="s">
        <v>267</v>
      </c>
      <c r="AF6" s="12" t="s">
        <v>268</v>
      </c>
      <c r="AG6" s="12" t="s">
        <v>45</v>
      </c>
      <c r="AH6" s="12"/>
      <c r="AI6" s="87" t="s">
        <v>107</v>
      </c>
      <c r="AJ6" s="87" t="s">
        <v>76</v>
      </c>
      <c r="AK6" s="87" t="s">
        <v>37</v>
      </c>
      <c r="AL6" s="87" t="s">
        <v>78</v>
      </c>
      <c r="AM6" s="87" t="s">
        <v>68</v>
      </c>
      <c r="AN6" s="87" t="s">
        <v>62</v>
      </c>
      <c r="AO6" s="87" t="s">
        <v>108</v>
      </c>
      <c r="AQ6" t="s">
        <v>1</v>
      </c>
      <c r="AR6" s="102" t="e">
        <f t="array" aca="1" ref="AR6:AV10" ca="1">COV(B4:F24)</f>
        <v>#NAME?</v>
      </c>
      <c r="AS6" s="103" t="e">
        <f ca="1"/>
        <v>#NAME?</v>
      </c>
      <c r="AT6" s="103" t="e">
        <f ca="1"/>
        <v>#NAME?</v>
      </c>
      <c r="AU6" s="103" t="e">
        <f ca="1"/>
        <v>#NAME?</v>
      </c>
      <c r="AV6" s="104" t="e">
        <f ca="1"/>
        <v>#NAME?</v>
      </c>
      <c r="AX6" t="s">
        <v>150</v>
      </c>
      <c r="AY6" s="78" t="e">
        <f ca="1">AVERAGE(AR12:AV12)</f>
        <v>#NAME?</v>
      </c>
      <c r="BA6" t="s">
        <v>149</v>
      </c>
      <c r="BB6" s="78">
        <f>AY5</f>
        <v>5</v>
      </c>
      <c r="BD6" s="61">
        <f t="shared" ref="BD6:BD12" si="2">G4</f>
        <v>358.8</v>
      </c>
      <c r="BE6" s="117">
        <f t="shared" ref="BE6:BE12" si="3">G11</f>
        <v>230.8</v>
      </c>
      <c r="BF6" s="118">
        <f t="shared" ref="BF6:BF12" si="4">G18</f>
        <v>249.8</v>
      </c>
      <c r="BH6" t="s">
        <v>29</v>
      </c>
      <c r="BI6">
        <f>MIN(BD6:BD12)</f>
        <v>237</v>
      </c>
      <c r="BJ6">
        <f>MIN(BE6:BE12)</f>
        <v>155.19999999999999</v>
      </c>
      <c r="BK6">
        <f>MIN(BF6:BF12)</f>
        <v>249.8</v>
      </c>
      <c r="CK6" t="s">
        <v>315</v>
      </c>
      <c r="CL6">
        <f>K5</f>
        <v>5</v>
      </c>
      <c r="CN6" t="s">
        <v>45</v>
      </c>
      <c r="CO6" s="107" t="e">
        <f ca="1">MDETERM(AR33:AV37)</f>
        <v>#NAME?</v>
      </c>
      <c r="CP6" s="7" t="e">
        <f ca="1">LN(CO6)</f>
        <v>#NAME?</v>
      </c>
      <c r="CQ6" s="7" t="e">
        <f ca="1">CP6*($CL$7-1)</f>
        <v>#NAME?</v>
      </c>
      <c r="CR6" s="7">
        <f>1/($CL$7-1)</f>
        <v>0.16666666666666666</v>
      </c>
      <c r="CS6" s="108">
        <f>CR6^2</f>
        <v>2.7777777777777776E-2</v>
      </c>
    </row>
    <row r="7" spans="1:97" ht="15.75" thickBot="1" x14ac:dyDescent="0.3">
      <c r="A7" s="107"/>
      <c r="B7" s="122">
        <v>241</v>
      </c>
      <c r="C7" s="123">
        <v>314</v>
      </c>
      <c r="D7" s="123">
        <v>423</v>
      </c>
      <c r="E7" s="123">
        <v>415</v>
      </c>
      <c r="F7" s="124">
        <v>468</v>
      </c>
      <c r="G7" s="7">
        <f t="shared" si="0"/>
        <v>372.2</v>
      </c>
      <c r="I7" s="34" t="s">
        <v>97</v>
      </c>
      <c r="Q7" s="34" t="s">
        <v>274</v>
      </c>
      <c r="R7" s="107">
        <f>J5*L5</f>
        <v>21</v>
      </c>
      <c r="S7" s="7">
        <f>DEVSQ(J12:N12)*R7</f>
        <v>1025800.38095238</v>
      </c>
      <c r="T7" s="7">
        <f>K5-1</f>
        <v>4</v>
      </c>
      <c r="U7" s="108">
        <f t="shared" si="1"/>
        <v>256450.095238095</v>
      </c>
      <c r="W7" s="16" t="s">
        <v>295</v>
      </c>
      <c r="X7" s="16">
        <f>S6</f>
        <v>178358.11428571431</v>
      </c>
      <c r="Y7" s="16">
        <f>T6</f>
        <v>2</v>
      </c>
      <c r="Z7" s="16">
        <f>X7/Y7</f>
        <v>89179.057142857157</v>
      </c>
      <c r="AA7" s="16">
        <f>Z7/Z8</f>
        <v>8.3013156145001332</v>
      </c>
      <c r="AB7">
        <f>FDIST(AA7,Y7,Y8)</f>
        <v>2.7891407228899608E-3</v>
      </c>
      <c r="AC7">
        <f>FINV(0.05,Y7,Y8)</f>
        <v>3.5545571456617879</v>
      </c>
      <c r="AE7" s="102">
        <f t="shared" ref="AE7:AE13" si="5">G4</f>
        <v>358.8</v>
      </c>
      <c r="AF7" s="103">
        <f t="shared" ref="AF7:AF13" si="6">G11</f>
        <v>230.8</v>
      </c>
      <c r="AG7" s="104">
        <f t="shared" ref="AG7:AG13" si="7">G18</f>
        <v>249.8</v>
      </c>
      <c r="AH7" s="7"/>
      <c r="AI7" s="16" t="s">
        <v>69</v>
      </c>
      <c r="AJ7" s="16">
        <v>85072.171428571397</v>
      </c>
      <c r="AK7" s="16">
        <v>6</v>
      </c>
      <c r="AL7" s="16">
        <v>14178.695238095233</v>
      </c>
      <c r="AM7" s="16">
        <v>8.6115148903433116</v>
      </c>
      <c r="AN7" s="16">
        <v>4.7218804282676579E-5</v>
      </c>
      <c r="AO7" s="16">
        <v>2.5081888234232559</v>
      </c>
      <c r="AR7" s="107" t="e">
        <f ca="1"/>
        <v>#NAME?</v>
      </c>
      <c r="AS7" s="7" t="e">
        <f ca="1"/>
        <v>#NAME?</v>
      </c>
      <c r="AT7" s="7" t="e">
        <f ca="1"/>
        <v>#NAME?</v>
      </c>
      <c r="AU7" s="7" t="e">
        <f ca="1"/>
        <v>#NAME?</v>
      </c>
      <c r="AV7" s="108" t="e">
        <f ca="1"/>
        <v>#NAME?</v>
      </c>
      <c r="AX7" t="s">
        <v>151</v>
      </c>
      <c r="AY7" s="78" t="e">
        <f ca="1">AVERAGE(AR6:AV10)</f>
        <v>#NAME?</v>
      </c>
      <c r="BA7" t="s">
        <v>156</v>
      </c>
      <c r="BB7" s="78" t="e">
        <f ca="1">AY12</f>
        <v>#NAME?</v>
      </c>
      <c r="BD7" s="107">
        <f t="shared" si="2"/>
        <v>258.60000000000002</v>
      </c>
      <c r="BE7" s="7">
        <f t="shared" si="3"/>
        <v>245.4</v>
      </c>
      <c r="BF7" s="108">
        <f t="shared" si="4"/>
        <v>279</v>
      </c>
      <c r="BH7" t="s">
        <v>30</v>
      </c>
      <c r="BI7">
        <f>QUARTILE(BD6:BD12,1)-BI6</f>
        <v>37.100000000000023</v>
      </c>
      <c r="BJ7">
        <f>QUARTILE(BE6:BE12,1)-BJ6</f>
        <v>32.199999999999989</v>
      </c>
      <c r="BK7">
        <f>QUARTILE(BF6:BF12,1)-BK6</f>
        <v>9.6999999999999886</v>
      </c>
      <c r="BU7" s="86" t="s">
        <v>267</v>
      </c>
      <c r="BV7" s="86" t="s">
        <v>268</v>
      </c>
      <c r="BW7" s="86" t="s">
        <v>45</v>
      </c>
      <c r="BX7" s="44"/>
      <c r="BY7" s="86" t="s">
        <v>267</v>
      </c>
      <c r="BZ7" s="86" t="s">
        <v>268</v>
      </c>
      <c r="CA7" s="86" t="s">
        <v>45</v>
      </c>
      <c r="CC7" t="s">
        <v>39</v>
      </c>
      <c r="CK7" t="s">
        <v>316</v>
      </c>
      <c r="CL7">
        <f>L5</f>
        <v>7</v>
      </c>
      <c r="CN7" t="s">
        <v>50</v>
      </c>
      <c r="CO7" s="52" t="e">
        <f ca="1">MDETERM(AR51:AV55)</f>
        <v>#NAME?</v>
      </c>
      <c r="CP7" s="53" t="e">
        <f ca="1">LN(CO7)</f>
        <v>#NAME?</v>
      </c>
      <c r="CQ7" s="53" t="e">
        <f ca="1">CP7*(CL8-CL5)</f>
        <v>#NAME?</v>
      </c>
      <c r="CR7" s="53">
        <f>1/(CL8-CL5)</f>
        <v>5.5555555555555552E-2</v>
      </c>
      <c r="CS7" s="56">
        <f>CR7^2</f>
        <v>3.0864197530864196E-3</v>
      </c>
    </row>
    <row r="8" spans="1:97" x14ac:dyDescent="0.25">
      <c r="A8" s="107"/>
      <c r="B8" s="122">
        <v>154</v>
      </c>
      <c r="C8" s="123">
        <v>167</v>
      </c>
      <c r="D8" s="123">
        <v>257</v>
      </c>
      <c r="E8" s="123">
        <v>275</v>
      </c>
      <c r="F8" s="124">
        <v>332</v>
      </c>
      <c r="G8" s="7">
        <f t="shared" si="0"/>
        <v>237</v>
      </c>
      <c r="J8" s="12" t="s">
        <v>269</v>
      </c>
      <c r="K8" s="12" t="s">
        <v>270</v>
      </c>
      <c r="L8" s="12" t="s">
        <v>271</v>
      </c>
      <c r="M8" s="12" t="s">
        <v>272</v>
      </c>
      <c r="N8" s="12" t="s">
        <v>273</v>
      </c>
      <c r="Q8" s="34" t="s">
        <v>278</v>
      </c>
      <c r="R8" s="107">
        <f>L5</f>
        <v>7</v>
      </c>
      <c r="S8" s="7">
        <f>DEVSQ(J9:N11)*R8</f>
        <v>1242898.5714285714</v>
      </c>
      <c r="T8" s="7">
        <f>J5*K5-1</f>
        <v>14</v>
      </c>
      <c r="U8" s="108">
        <f t="shared" si="1"/>
        <v>88778.469387755104</v>
      </c>
      <c r="W8" s="16" t="s">
        <v>279</v>
      </c>
      <c r="X8">
        <f>S12</f>
        <v>193369.71428571423</v>
      </c>
      <c r="Y8">
        <f>T12</f>
        <v>18</v>
      </c>
      <c r="Z8" s="16">
        <f>X8/Y8</f>
        <v>10742.761904761901</v>
      </c>
      <c r="AE8" s="107">
        <f t="shared" si="5"/>
        <v>258.60000000000002</v>
      </c>
      <c r="AF8" s="7">
        <f t="shared" si="6"/>
        <v>245.4</v>
      </c>
      <c r="AG8" s="108">
        <f t="shared" si="7"/>
        <v>279</v>
      </c>
      <c r="AH8" s="7"/>
      <c r="AI8" s="16" t="s">
        <v>123</v>
      </c>
      <c r="AJ8" s="16">
        <v>220968.45714285711</v>
      </c>
      <c r="AK8" s="16">
        <v>4</v>
      </c>
      <c r="AL8" s="16">
        <v>55242.114285714277</v>
      </c>
      <c r="AM8" s="16">
        <v>33.551626701681158</v>
      </c>
      <c r="AN8" s="16">
        <v>1.6606146059093755E-9</v>
      </c>
      <c r="AO8" s="16">
        <v>2.7762892892514786</v>
      </c>
      <c r="AR8" s="107" t="e">
        <f ca="1"/>
        <v>#NAME?</v>
      </c>
      <c r="AS8" s="7" t="e">
        <f ca="1"/>
        <v>#NAME?</v>
      </c>
      <c r="AT8" s="7" t="e">
        <f ca="1"/>
        <v>#NAME?</v>
      </c>
      <c r="AU8" s="7" t="e">
        <f ca="1"/>
        <v>#NAME?</v>
      </c>
      <c r="AV8" s="108" t="e">
        <f ca="1"/>
        <v>#NAME?</v>
      </c>
      <c r="AX8" t="s">
        <v>152</v>
      </c>
      <c r="AY8" s="78" t="e">
        <f ca="1">SUMSQ(AR6:AV10)</f>
        <v>#NAME?</v>
      </c>
      <c r="BA8" t="s">
        <v>157</v>
      </c>
      <c r="BB8" s="78" t="e">
        <f ca="1">BB5*(BB6-1)*BB7-2</f>
        <v>#NAME?</v>
      </c>
      <c r="BD8" s="107">
        <f t="shared" si="2"/>
        <v>331.8</v>
      </c>
      <c r="BE8" s="7">
        <f t="shared" si="3"/>
        <v>274.8</v>
      </c>
      <c r="BF8" s="108">
        <f t="shared" si="4"/>
        <v>258.39999999999998</v>
      </c>
      <c r="BH8" t="s">
        <v>31</v>
      </c>
      <c r="BI8">
        <f>MEDIAN(BD6:BD12)-QUARTILE(BD6:BD12,1)</f>
        <v>57.699999999999989</v>
      </c>
      <c r="BJ8">
        <f>MEDIAN(BE6:BE12)-QUARTILE(BE6:BE12,1)</f>
        <v>43.400000000000034</v>
      </c>
      <c r="BK8">
        <f>MEDIAN(BF6:BF12)-QUARTILE(BF6:BF12,1)</f>
        <v>5.1000000000000227</v>
      </c>
      <c r="BU8" s="61">
        <f t="shared" ref="BU8:BU14" si="8">B4</f>
        <v>250</v>
      </c>
      <c r="BV8" s="117">
        <f t="shared" ref="BV8:BV14" si="9">B11</f>
        <v>54</v>
      </c>
      <c r="BW8" s="118">
        <f t="shared" ref="BW8:BW14" si="10">B18</f>
        <v>118</v>
      </c>
      <c r="BX8" s="47"/>
      <c r="BY8" s="61">
        <f>ABS(BU8-$BU$15)</f>
        <v>65.142857142857139</v>
      </c>
      <c r="BZ8" s="117">
        <f>ABS(BV8-BV$15)</f>
        <v>0.4285714285714306</v>
      </c>
      <c r="CA8" s="118">
        <f>ABS(BW8-BW$15)</f>
        <v>30.571428571428569</v>
      </c>
      <c r="CC8" s="87" t="s">
        <v>47</v>
      </c>
      <c r="CD8" s="87" t="s">
        <v>11</v>
      </c>
      <c r="CE8" s="87" t="s">
        <v>10</v>
      </c>
      <c r="CF8" s="87" t="s">
        <v>106</v>
      </c>
      <c r="CG8" s="87" t="s">
        <v>48</v>
      </c>
      <c r="CK8" t="s">
        <v>16</v>
      </c>
      <c r="CL8">
        <f>CL5*CL7</f>
        <v>21</v>
      </c>
      <c r="CN8" t="s">
        <v>319</v>
      </c>
      <c r="CQ8" s="106" t="e">
        <f ca="1">CQ7-SUM(CQ4:CQ6)</f>
        <v>#NAME?</v>
      </c>
      <c r="CR8">
        <f>SUM(CR4:CR6)-CR7</f>
        <v>0.44444444444444442</v>
      </c>
      <c r="CS8">
        <f>SUM(CS4:CS6)-CS7</f>
        <v>8.0246913580246909E-2</v>
      </c>
    </row>
    <row r="9" spans="1:97" x14ac:dyDescent="0.25">
      <c r="A9" s="107"/>
      <c r="B9" s="122">
        <v>103</v>
      </c>
      <c r="C9" s="123">
        <v>286</v>
      </c>
      <c r="D9" s="123">
        <v>401</v>
      </c>
      <c r="E9" s="123">
        <v>291</v>
      </c>
      <c r="F9" s="124">
        <v>367</v>
      </c>
      <c r="G9" s="7">
        <f t="shared" si="0"/>
        <v>289.60000000000002</v>
      </c>
      <c r="I9" t="s">
        <v>267</v>
      </c>
      <c r="J9" s="102">
        <f>AVERAGE(B4:B10)</f>
        <v>184.85714285714286</v>
      </c>
      <c r="K9" s="103">
        <f>AVERAGE(C4:C10)</f>
        <v>259.85714285714283</v>
      </c>
      <c r="L9" s="103">
        <f>AVERAGE(D4:D10)</f>
        <v>382.85714285714283</v>
      </c>
      <c r="M9" s="103">
        <f>AVERAGE(E4:E10)</f>
        <v>362.57142857142856</v>
      </c>
      <c r="N9" s="104">
        <f>AVERAGE(F4:F10)</f>
        <v>383.71428571428572</v>
      </c>
      <c r="O9" s="23">
        <f>AVERAGE(J9:N9)</f>
        <v>314.77142857142854</v>
      </c>
      <c r="Q9" s="7" t="s">
        <v>260</v>
      </c>
      <c r="R9" s="107">
        <f>K5</f>
        <v>5</v>
      </c>
      <c r="S9" s="7">
        <f>DEVSQ(G4:G24)*R9</f>
        <v>371727.82857142854</v>
      </c>
      <c r="T9" s="7">
        <f>J5*L5-1</f>
        <v>20</v>
      </c>
      <c r="U9" s="108">
        <f t="shared" si="1"/>
        <v>18586.391428571427</v>
      </c>
      <c r="W9" s="16" t="s">
        <v>261</v>
      </c>
      <c r="X9">
        <f>S10</f>
        <v>1225615.5999999996</v>
      </c>
      <c r="Y9">
        <f>T10</f>
        <v>84</v>
      </c>
      <c r="AE9" s="107">
        <f t="shared" si="5"/>
        <v>331.8</v>
      </c>
      <c r="AF9" s="7">
        <f t="shared" si="6"/>
        <v>274.8</v>
      </c>
      <c r="AG9" s="108">
        <f t="shared" si="7"/>
        <v>258.39999999999998</v>
      </c>
      <c r="AH9" s="7"/>
      <c r="AI9" s="16" t="s">
        <v>122</v>
      </c>
      <c r="AJ9" s="16">
        <v>39515.542857142922</v>
      </c>
      <c r="AK9" s="16">
        <v>24</v>
      </c>
      <c r="AL9" s="16">
        <v>1646.4809523809552</v>
      </c>
      <c r="AM9" s="16"/>
      <c r="AN9" s="16"/>
      <c r="AO9" s="16"/>
      <c r="AR9" s="107" t="e">
        <f ca="1"/>
        <v>#NAME?</v>
      </c>
      <c r="AS9" s="7" t="e">
        <f ca="1"/>
        <v>#NAME?</v>
      </c>
      <c r="AT9" s="7" t="e">
        <f ca="1"/>
        <v>#NAME?</v>
      </c>
      <c r="AU9" s="7" t="e">
        <f ca="1"/>
        <v>#NAME?</v>
      </c>
      <c r="AV9" s="108" t="e">
        <f ca="1"/>
        <v>#NAME?</v>
      </c>
      <c r="AX9" t="s">
        <v>153</v>
      </c>
      <c r="AY9" s="78" t="e">
        <f ca="1">SUMSQ(AR11:AV11)</f>
        <v>#NAME?</v>
      </c>
      <c r="BA9" t="s">
        <v>158</v>
      </c>
      <c r="BB9" s="78" t="e">
        <f ca="1">(BB6-1)*(BB5-1-(BB6-1)*BB7)</f>
        <v>#NAME?</v>
      </c>
      <c r="BD9" s="107">
        <f t="shared" si="2"/>
        <v>372.2</v>
      </c>
      <c r="BE9" s="7">
        <f t="shared" si="3"/>
        <v>234.4</v>
      </c>
      <c r="BF9" s="108">
        <f t="shared" si="4"/>
        <v>264.60000000000002</v>
      </c>
      <c r="BH9" t="s">
        <v>32</v>
      </c>
      <c r="BI9">
        <f>QUARTILE(BD6:BD12,3)-MEDIAN(BD6:BD12)</f>
        <v>25.300000000000011</v>
      </c>
      <c r="BJ9">
        <f>QUARTILE(BE6:BE12,3)-MEDIAN(BE6:BE12)</f>
        <v>9.0999999999999943</v>
      </c>
      <c r="BK9">
        <f>QUARTILE(BF6:BF12,3)-MEDIAN(BF6:BF12)</f>
        <v>41.599999999999966</v>
      </c>
      <c r="BU9" s="107">
        <f t="shared" si="8"/>
        <v>65</v>
      </c>
      <c r="BV9" s="7">
        <f t="shared" si="9"/>
        <v>20</v>
      </c>
      <c r="BW9" s="108">
        <f t="shared" si="10"/>
        <v>83</v>
      </c>
      <c r="BX9" s="47"/>
      <c r="BY9" s="107">
        <f t="shared" ref="BY9:BY14" si="11">ABS(BU9-BU$15)</f>
        <v>119.85714285714286</v>
      </c>
      <c r="BZ9" s="7">
        <f t="shared" ref="BZ9:BZ14" si="12">ABS(BV9-BV$15)</f>
        <v>34.428571428571431</v>
      </c>
      <c r="CA9" s="108">
        <f t="shared" ref="CA9:CA14" si="13">ABS(BW9-BW$15)</f>
        <v>4.4285714285714306</v>
      </c>
      <c r="CC9" s="16" t="s">
        <v>267</v>
      </c>
      <c r="CD9" s="16">
        <v>7</v>
      </c>
      <c r="CE9" s="16">
        <v>465.14285714285711</v>
      </c>
      <c r="CF9" s="16">
        <v>66.448979591836732</v>
      </c>
      <c r="CG9" s="16">
        <v>819.7648202138007</v>
      </c>
    </row>
    <row r="10" spans="1:97" x14ac:dyDescent="0.25">
      <c r="A10" s="52"/>
      <c r="B10" s="125">
        <v>230</v>
      </c>
      <c r="C10" s="123">
        <v>306</v>
      </c>
      <c r="D10" s="126">
        <v>432</v>
      </c>
      <c r="E10" s="126">
        <v>386</v>
      </c>
      <c r="F10" s="127">
        <v>423</v>
      </c>
      <c r="G10" s="7">
        <f t="shared" si="0"/>
        <v>355.4</v>
      </c>
      <c r="I10" t="s">
        <v>268</v>
      </c>
      <c r="J10" s="107">
        <f>AVERAGE(B11:B17)</f>
        <v>54.428571428571431</v>
      </c>
      <c r="K10" s="7">
        <f>AVERAGE(C11:C17)</f>
        <v>119.14285714285714</v>
      </c>
      <c r="L10" s="7">
        <f>AVERAGE(D11:D17)</f>
        <v>317.42857142857144</v>
      </c>
      <c r="M10" s="7">
        <f>AVERAGE(E11:E17)</f>
        <v>281.57142857142856</v>
      </c>
      <c r="N10" s="108">
        <f>AVERAGE(F11:F17)</f>
        <v>309.85714285714283</v>
      </c>
      <c r="O10" s="23">
        <f>AVERAGE(J10:N10)</f>
        <v>216.48571428571427</v>
      </c>
      <c r="Q10" s="34" t="s">
        <v>262</v>
      </c>
      <c r="R10" s="107"/>
      <c r="S10" s="7">
        <f>S5-S9</f>
        <v>1225615.5999999996</v>
      </c>
      <c r="T10" s="7">
        <f>T5-T9</f>
        <v>84</v>
      </c>
      <c r="U10" s="108">
        <f t="shared" si="1"/>
        <v>14590.661904761901</v>
      </c>
      <c r="W10" s="16" t="s">
        <v>280</v>
      </c>
      <c r="X10" s="16">
        <f>S7</f>
        <v>1025800.38095238</v>
      </c>
      <c r="Y10" s="16">
        <f>T7</f>
        <v>4</v>
      </c>
      <c r="Z10" s="16">
        <f>X10/Y10</f>
        <v>256450.095238095</v>
      </c>
      <c r="AA10" s="16">
        <f>Z10/Z12</f>
        <v>114.63225504334284</v>
      </c>
      <c r="AB10">
        <f>FDIST(AA10,Y10,Y12)</f>
        <v>1.9104657472457449E-30</v>
      </c>
      <c r="AC10">
        <f>FINV(0.05,Y10,Y12)</f>
        <v>2.4989185828063061</v>
      </c>
      <c r="AE10" s="107">
        <f t="shared" si="5"/>
        <v>372.2</v>
      </c>
      <c r="AF10" s="7">
        <f t="shared" si="6"/>
        <v>234.4</v>
      </c>
      <c r="AG10" s="108">
        <f t="shared" si="7"/>
        <v>264.60000000000002</v>
      </c>
      <c r="AH10" s="7"/>
      <c r="AI10" s="16"/>
      <c r="AJ10" s="16"/>
      <c r="AK10" s="16"/>
      <c r="AL10" s="16"/>
      <c r="AM10" s="16"/>
      <c r="AN10" s="16"/>
      <c r="AO10" s="16"/>
      <c r="AR10" s="52" t="e">
        <f ca="1"/>
        <v>#NAME?</v>
      </c>
      <c r="AS10" s="53" t="e">
        <f ca="1"/>
        <v>#NAME?</v>
      </c>
      <c r="AT10" s="53" t="e">
        <f ca="1"/>
        <v>#NAME?</v>
      </c>
      <c r="AU10" s="53" t="e">
        <f ca="1"/>
        <v>#NAME?</v>
      </c>
      <c r="AV10" s="56" t="e">
        <f ca="1"/>
        <v>#NAME?</v>
      </c>
      <c r="AX10" t="s">
        <v>154</v>
      </c>
      <c r="AY10" s="78" t="e">
        <f ca="1">(AY5*(AY6-AY7))^2</f>
        <v>#NAME?</v>
      </c>
      <c r="BA10" t="s">
        <v>159</v>
      </c>
      <c r="BB10" s="58" t="e">
        <f ca="1">MIN(BB8/BB9,1)</f>
        <v>#NAME?</v>
      </c>
      <c r="BD10" s="107">
        <f t="shared" si="2"/>
        <v>237</v>
      </c>
      <c r="BE10" s="7">
        <f t="shared" si="3"/>
        <v>214.2</v>
      </c>
      <c r="BF10" s="108">
        <f t="shared" si="4"/>
        <v>353.4</v>
      </c>
      <c r="BH10" t="s">
        <v>33</v>
      </c>
      <c r="BI10">
        <f>MAX(BD6:BD12)-QUARTILE(BD6:BD12,3)</f>
        <v>15.099999999999966</v>
      </c>
      <c r="BJ10">
        <f>MAX(BE6:BE12)-QUARTILE(BE6:BE12,3)</f>
        <v>34.900000000000006</v>
      </c>
      <c r="BK10">
        <f>MAX(BF6:BF12)-QUARTILE(BF6:BF12,3)</f>
        <v>47.199999999999989</v>
      </c>
      <c r="BU10" s="107">
        <f t="shared" si="8"/>
        <v>251</v>
      </c>
      <c r="BV10" s="7">
        <f t="shared" si="9"/>
        <v>41</v>
      </c>
      <c r="BW10" s="108">
        <f t="shared" si="10"/>
        <v>38</v>
      </c>
      <c r="BX10" s="47"/>
      <c r="BY10" s="107">
        <f t="shared" si="11"/>
        <v>66.142857142857139</v>
      </c>
      <c r="BZ10" s="7">
        <f t="shared" si="12"/>
        <v>13.428571428571431</v>
      </c>
      <c r="CA10" s="108">
        <f t="shared" si="13"/>
        <v>49.428571428571431</v>
      </c>
      <c r="CC10" s="16" t="s">
        <v>268</v>
      </c>
      <c r="CD10" s="16">
        <v>7</v>
      </c>
      <c r="CE10" s="16">
        <v>291.14285714285717</v>
      </c>
      <c r="CF10" s="16">
        <v>41.591836734693878</v>
      </c>
      <c r="CG10" s="16">
        <v>2359.4246841593772</v>
      </c>
    </row>
    <row r="11" spans="1:97" ht="15.75" thickBot="1" x14ac:dyDescent="0.3">
      <c r="A11" s="105" t="s">
        <v>268</v>
      </c>
      <c r="B11" s="119">
        <v>54</v>
      </c>
      <c r="C11" s="120">
        <v>172</v>
      </c>
      <c r="D11" s="120">
        <v>307</v>
      </c>
      <c r="E11" s="120">
        <v>261</v>
      </c>
      <c r="F11" s="121">
        <v>360</v>
      </c>
      <c r="G11" s="7">
        <f t="shared" si="0"/>
        <v>230.8</v>
      </c>
      <c r="I11" t="s">
        <v>45</v>
      </c>
      <c r="J11" s="52">
        <f>AVERAGE(B18:B24)</f>
        <v>87.428571428571431</v>
      </c>
      <c r="K11" s="53">
        <f>AVERAGE(C18:C24)</f>
        <v>238.71428571428572</v>
      </c>
      <c r="L11" s="53">
        <f>AVERAGE(D18:D24)</f>
        <v>369.57142857142856</v>
      </c>
      <c r="M11" s="53">
        <f>AVERAGE(E18:E24)</f>
        <v>374.28571428571428</v>
      </c>
      <c r="N11" s="56">
        <f>AVERAGE(F18:F24)</f>
        <v>358</v>
      </c>
      <c r="O11" s="23">
        <f>AVERAGE(J11:N11)</f>
        <v>285.60000000000002</v>
      </c>
      <c r="Q11" s="34" t="s">
        <v>277</v>
      </c>
      <c r="R11" s="107"/>
      <c r="S11" s="7">
        <f>S8-S6-S7</f>
        <v>38740.076190477121</v>
      </c>
      <c r="T11" s="7">
        <f>T8-T6-T7</f>
        <v>8</v>
      </c>
      <c r="U11" s="108">
        <f t="shared" si="1"/>
        <v>4842.5095238096401</v>
      </c>
      <c r="W11" s="34" t="s">
        <v>329</v>
      </c>
      <c r="X11">
        <f>S11</f>
        <v>38740.076190477121</v>
      </c>
      <c r="Y11">
        <f>T11</f>
        <v>8</v>
      </c>
      <c r="Z11" s="16">
        <f>X11/Y11</f>
        <v>4842.5095238096401</v>
      </c>
      <c r="AA11">
        <f>Z11/Z12</f>
        <v>2.1645840539376158</v>
      </c>
      <c r="AB11">
        <f>FDIST(AA11,Y11,Y12)</f>
        <v>4.0346173311157994E-2</v>
      </c>
      <c r="AC11">
        <f>FINV(0.05,Y11,Y12)</f>
        <v>2.0698316419588703</v>
      </c>
      <c r="AE11" s="107">
        <f t="shared" si="5"/>
        <v>237</v>
      </c>
      <c r="AF11" s="7">
        <f t="shared" si="6"/>
        <v>214.2</v>
      </c>
      <c r="AG11" s="108">
        <f t="shared" si="7"/>
        <v>353.4</v>
      </c>
      <c r="AH11" s="7"/>
      <c r="AI11" s="17" t="s">
        <v>1</v>
      </c>
      <c r="AJ11" s="17">
        <v>345556.1714285714</v>
      </c>
      <c r="AK11" s="17">
        <v>34</v>
      </c>
      <c r="AL11" s="17"/>
      <c r="AM11" s="17"/>
      <c r="AN11" s="17"/>
      <c r="AO11" s="17"/>
      <c r="AQ11" t="s">
        <v>6</v>
      </c>
      <c r="AR11" t="e">
        <f ca="1">AVERAGE(AR6:AR10)</f>
        <v>#NAME?</v>
      </c>
      <c r="AS11" t="e">
        <f ca="1">AVERAGE(AS6:AS10)</f>
        <v>#NAME?</v>
      </c>
      <c r="AT11" t="e">
        <f ca="1">AVERAGE(AT6:AT10)</f>
        <v>#NAME?</v>
      </c>
      <c r="AU11" t="e">
        <f ca="1">AVERAGE(AU6:AU10)</f>
        <v>#NAME?</v>
      </c>
      <c r="AV11" t="e">
        <f ca="1">AVERAGE(AV6:AV10)</f>
        <v>#NAME?</v>
      </c>
      <c r="AX11" t="s">
        <v>155</v>
      </c>
      <c r="AY11" s="78" t="e">
        <f ca="1">(AY5-1)*(AY8-2*AY5*AY9+AY5^2*AY7^2)</f>
        <v>#NAME?</v>
      </c>
      <c r="BD11" s="107">
        <f t="shared" si="2"/>
        <v>289.60000000000002</v>
      </c>
      <c r="BE11" s="7">
        <f t="shared" si="3"/>
        <v>155.19999999999999</v>
      </c>
      <c r="BF11" s="108">
        <f t="shared" si="4"/>
        <v>333.4</v>
      </c>
      <c r="BU11" s="107">
        <f t="shared" si="8"/>
        <v>241</v>
      </c>
      <c r="BV11" s="7">
        <f t="shared" si="9"/>
        <v>200</v>
      </c>
      <c r="BW11" s="108">
        <f t="shared" si="10"/>
        <v>71</v>
      </c>
      <c r="BX11" s="47"/>
      <c r="BY11" s="107">
        <f t="shared" si="11"/>
        <v>56.142857142857139</v>
      </c>
      <c r="BZ11" s="7">
        <f t="shared" si="12"/>
        <v>145.57142857142856</v>
      </c>
      <c r="CA11" s="108">
        <f t="shared" si="13"/>
        <v>16.428571428571431</v>
      </c>
      <c r="CC11" s="17" t="s">
        <v>45</v>
      </c>
      <c r="CD11" s="17">
        <v>7</v>
      </c>
      <c r="CE11" s="17">
        <v>173.42857142857144</v>
      </c>
      <c r="CF11" s="17">
        <v>24.775510204081634</v>
      </c>
      <c r="CG11" s="17">
        <v>221.48882410106884</v>
      </c>
      <c r="CK11" t="s">
        <v>319</v>
      </c>
      <c r="CL11" s="57" t="e">
        <f ca="1">CQ8</f>
        <v>#NAME?</v>
      </c>
      <c r="CN11" t="s">
        <v>320</v>
      </c>
      <c r="CO11" s="57">
        <f>(CL6-1)*(CL6+2)/(6*(CL5-1))*CS8</f>
        <v>0.18724279835390947</v>
      </c>
    </row>
    <row r="12" spans="1:97" x14ac:dyDescent="0.25">
      <c r="A12" s="78"/>
      <c r="B12" s="122">
        <v>20</v>
      </c>
      <c r="C12" s="123">
        <v>116</v>
      </c>
      <c r="D12" s="123">
        <v>425</v>
      </c>
      <c r="E12" s="123">
        <v>398</v>
      </c>
      <c r="F12" s="124">
        <v>268</v>
      </c>
      <c r="G12" s="7">
        <f t="shared" si="0"/>
        <v>245.4</v>
      </c>
      <c r="J12">
        <f>AVERAGE(J9:J11)</f>
        <v>108.90476190476191</v>
      </c>
      <c r="K12">
        <f>AVERAGE(K9:K11)</f>
        <v>205.90476190476193</v>
      </c>
      <c r="L12">
        <f>AVERAGE(L9:L11)</f>
        <v>356.61904761904754</v>
      </c>
      <c r="M12">
        <f>AVERAGE(M9:M11)</f>
        <v>339.47619047619042</v>
      </c>
      <c r="N12">
        <f>AVERAGE(N9:N11)</f>
        <v>350.52380952380946</v>
      </c>
      <c r="O12">
        <f>AVERAGE(J9:N11)</f>
        <v>272.28571428571428</v>
      </c>
      <c r="Q12" s="16" t="s">
        <v>276</v>
      </c>
      <c r="R12" s="107"/>
      <c r="S12" s="7">
        <f>S9-S6</f>
        <v>193369.71428571423</v>
      </c>
      <c r="T12" s="7">
        <f>T9-T6</f>
        <v>18</v>
      </c>
      <c r="U12" s="108">
        <f t="shared" si="1"/>
        <v>10742.761904761901</v>
      </c>
      <c r="W12" s="16" t="s">
        <v>281</v>
      </c>
      <c r="X12" s="16">
        <f>S13</f>
        <v>161075.14285714249</v>
      </c>
      <c r="Y12" s="16">
        <f>T13</f>
        <v>72</v>
      </c>
      <c r="Z12" s="16">
        <f>X12/Y12</f>
        <v>2237.1547619047569</v>
      </c>
      <c r="AE12" s="107">
        <f t="shared" si="5"/>
        <v>289.60000000000002</v>
      </c>
      <c r="AF12" s="7">
        <f t="shared" si="6"/>
        <v>155.19999999999999</v>
      </c>
      <c r="AG12" s="108">
        <f t="shared" si="7"/>
        <v>333.4</v>
      </c>
      <c r="AH12" s="7"/>
      <c r="AQ12" t="s">
        <v>7</v>
      </c>
      <c r="AR12" t="e">
        <f ca="1">INDEX(AR6:AR10,AR5)</f>
        <v>#NAME?</v>
      </c>
      <c r="AS12" t="e">
        <f ca="1">INDEX(AS6:AS10,AS5)</f>
        <v>#NAME?</v>
      </c>
      <c r="AT12" t="e">
        <f ca="1">INDEX(AT6:AT10,AT5)</f>
        <v>#NAME?</v>
      </c>
      <c r="AU12" t="e">
        <f ca="1">INDEX(AU6:AU10,AU5)</f>
        <v>#NAME?</v>
      </c>
      <c r="AV12" t="e">
        <f ca="1">INDEX(AV6:AV10,AV5)</f>
        <v>#NAME?</v>
      </c>
      <c r="AX12" t="s">
        <v>156</v>
      </c>
      <c r="AY12" s="42" t="e">
        <f ca="1">AY10/AY11</f>
        <v>#NAME?</v>
      </c>
      <c r="BA12" t="s">
        <v>203</v>
      </c>
      <c r="BB12" s="106">
        <f>1/(BB6-1)</f>
        <v>0.25</v>
      </c>
      <c r="BD12" s="52">
        <f t="shared" si="2"/>
        <v>355.4</v>
      </c>
      <c r="BE12" s="53">
        <f t="shared" si="3"/>
        <v>160.6</v>
      </c>
      <c r="BF12" s="56">
        <f t="shared" si="4"/>
        <v>260.60000000000002</v>
      </c>
      <c r="BU12" s="107">
        <f t="shared" si="8"/>
        <v>154</v>
      </c>
      <c r="BV12" s="7">
        <f t="shared" si="9"/>
        <v>34</v>
      </c>
      <c r="BW12" s="108">
        <f t="shared" si="10"/>
        <v>123</v>
      </c>
      <c r="BX12" s="47"/>
      <c r="BY12" s="107">
        <f t="shared" si="11"/>
        <v>30.857142857142861</v>
      </c>
      <c r="BZ12" s="7">
        <f t="shared" si="12"/>
        <v>20.428571428571431</v>
      </c>
      <c r="CA12" s="108">
        <f t="shared" si="13"/>
        <v>35.571428571428569</v>
      </c>
      <c r="CK12" t="s">
        <v>23</v>
      </c>
      <c r="CL12" s="78">
        <f>(2*CL6^2+3*CL6-1)/(6*(CL6+1)*(CL5-1))*CR8</f>
        <v>0.39506172839506171</v>
      </c>
      <c r="CN12" t="s">
        <v>321</v>
      </c>
      <c r="CO12" s="78">
        <f>(CL14+2)/ABS(CO11-CL12^2)</f>
        <v>1026.6601466992654</v>
      </c>
    </row>
    <row r="13" spans="1:97" ht="15.75" thickBot="1" x14ac:dyDescent="0.3">
      <c r="A13" s="78"/>
      <c r="B13" s="122">
        <v>41</v>
      </c>
      <c r="C13" s="123">
        <v>168</v>
      </c>
      <c r="D13" s="123">
        <v>378</v>
      </c>
      <c r="E13" s="123">
        <v>317</v>
      </c>
      <c r="F13" s="124">
        <v>470</v>
      </c>
      <c r="G13" s="7">
        <f t="shared" si="0"/>
        <v>274.8</v>
      </c>
      <c r="Q13" s="16" t="s">
        <v>275</v>
      </c>
      <c r="R13" s="52"/>
      <c r="S13" s="53">
        <f>S10-S7-S11</f>
        <v>161075.14285714249</v>
      </c>
      <c r="T13" s="53">
        <f>T10-T7-T11</f>
        <v>72</v>
      </c>
      <c r="U13" s="56">
        <f t="shared" si="1"/>
        <v>2237.1547619047569</v>
      </c>
      <c r="AA13" s="16"/>
      <c r="AB13" s="16"/>
      <c r="AC13" s="16"/>
      <c r="AE13" s="52">
        <f t="shared" si="5"/>
        <v>355.4</v>
      </c>
      <c r="AF13" s="53">
        <f t="shared" si="6"/>
        <v>160.6</v>
      </c>
      <c r="AG13" s="56">
        <f t="shared" si="7"/>
        <v>260.60000000000002</v>
      </c>
      <c r="AH13" s="7"/>
      <c r="AI13" t="s">
        <v>287</v>
      </c>
      <c r="BU13" s="107">
        <f t="shared" si="8"/>
        <v>103</v>
      </c>
      <c r="BV13" s="7">
        <f t="shared" si="9"/>
        <v>29</v>
      </c>
      <c r="BW13" s="108">
        <f t="shared" si="10"/>
        <v>71</v>
      </c>
      <c r="BX13" s="47"/>
      <c r="BY13" s="107">
        <f t="shared" si="11"/>
        <v>81.857142857142861</v>
      </c>
      <c r="BZ13" s="7">
        <f t="shared" si="12"/>
        <v>25.428571428571431</v>
      </c>
      <c r="CA13" s="108">
        <f t="shared" si="13"/>
        <v>16.428571428571431</v>
      </c>
      <c r="CK13" s="22" t="s">
        <v>59</v>
      </c>
      <c r="CL13" s="78" t="e">
        <f ca="1">CL11*(1-CL12)</f>
        <v>#NAME?</v>
      </c>
      <c r="CN13" t="s">
        <v>323</v>
      </c>
      <c r="CO13" s="78">
        <f>CL14/(1-CL12-CL14/CO12)</f>
        <v>52.108907696507906</v>
      </c>
    </row>
    <row r="14" spans="1:97" ht="15.75" thickBot="1" x14ac:dyDescent="0.3">
      <c r="A14" s="78"/>
      <c r="B14" s="122">
        <v>200</v>
      </c>
      <c r="C14" s="123">
        <v>157</v>
      </c>
      <c r="D14" s="123">
        <v>283</v>
      </c>
      <c r="E14" s="123">
        <v>259</v>
      </c>
      <c r="F14" s="124">
        <v>273</v>
      </c>
      <c r="G14" s="7">
        <f t="shared" si="0"/>
        <v>234.4</v>
      </c>
      <c r="W14" s="17" t="s">
        <v>1</v>
      </c>
      <c r="X14" s="17">
        <f>S5</f>
        <v>1597343.4285714282</v>
      </c>
      <c r="Y14" s="17">
        <f>T5</f>
        <v>104</v>
      </c>
      <c r="Z14" s="17"/>
      <c r="AA14" s="17"/>
      <c r="AB14" s="17"/>
      <c r="AC14" s="17"/>
      <c r="AH14" s="7"/>
      <c r="AI14" s="87" t="s">
        <v>107</v>
      </c>
      <c r="AJ14" s="87" t="s">
        <v>76</v>
      </c>
      <c r="AK14" s="87" t="s">
        <v>37</v>
      </c>
      <c r="AL14" s="87" t="s">
        <v>78</v>
      </c>
      <c r="AM14" s="87" t="s">
        <v>68</v>
      </c>
      <c r="AN14" s="87" t="s">
        <v>62</v>
      </c>
      <c r="AO14" s="87" t="s">
        <v>108</v>
      </c>
      <c r="AR14">
        <v>1</v>
      </c>
      <c r="AS14">
        <f>AR14+1</f>
        <v>2</v>
      </c>
      <c r="AT14">
        <f>AS14+1</f>
        <v>3</v>
      </c>
      <c r="AU14">
        <f>AT14+1</f>
        <v>4</v>
      </c>
      <c r="AV14">
        <f>AU14+1</f>
        <v>5</v>
      </c>
      <c r="AX14" t="s">
        <v>149</v>
      </c>
      <c r="AY14" s="95">
        <f>$K$5</f>
        <v>5</v>
      </c>
      <c r="BA14" t="s">
        <v>148</v>
      </c>
      <c r="BB14" s="105">
        <f>$L$5</f>
        <v>7</v>
      </c>
      <c r="BD14" s="86" t="s">
        <v>296</v>
      </c>
      <c r="BE14" s="86" t="s">
        <v>297</v>
      </c>
      <c r="BF14" s="86" t="s">
        <v>300</v>
      </c>
      <c r="BG14" s="86" t="s">
        <v>298</v>
      </c>
      <c r="BH14" s="86" t="s">
        <v>299</v>
      </c>
      <c r="BI14" s="86" t="s">
        <v>305</v>
      </c>
      <c r="BJ14" s="86" t="s">
        <v>301</v>
      </c>
      <c r="BK14" s="86" t="s">
        <v>302</v>
      </c>
      <c r="BL14" s="86" t="s">
        <v>303</v>
      </c>
      <c r="BM14" s="86" t="s">
        <v>304</v>
      </c>
      <c r="BN14" s="86" t="s">
        <v>306</v>
      </c>
      <c r="BO14" s="86" t="s">
        <v>307</v>
      </c>
      <c r="BP14" s="86" t="s">
        <v>308</v>
      </c>
      <c r="BQ14" s="86" t="s">
        <v>309</v>
      </c>
      <c r="BR14" s="86" t="s">
        <v>310</v>
      </c>
      <c r="BU14" s="52">
        <f t="shared" si="8"/>
        <v>230</v>
      </c>
      <c r="BV14" s="53">
        <f t="shared" si="9"/>
        <v>3</v>
      </c>
      <c r="BW14" s="56">
        <f t="shared" si="10"/>
        <v>108</v>
      </c>
      <c r="BX14" s="47"/>
      <c r="BY14" s="52">
        <f t="shared" si="11"/>
        <v>45.142857142857139</v>
      </c>
      <c r="BZ14" s="53">
        <f t="shared" si="12"/>
        <v>51.428571428571431</v>
      </c>
      <c r="CA14" s="56">
        <f t="shared" si="13"/>
        <v>20.571428571428569</v>
      </c>
      <c r="CC14" t="s">
        <v>84</v>
      </c>
      <c r="CK14" s="22" t="s">
        <v>37</v>
      </c>
      <c r="CL14" s="78">
        <f>CL6*(CL6+1)*(CL5-1)/2</f>
        <v>30</v>
      </c>
      <c r="CN14" t="s">
        <v>324</v>
      </c>
      <c r="CO14" s="78">
        <f>CO12/(1-CL12+2/CO12)</f>
        <v>1691.6843994114142</v>
      </c>
    </row>
    <row r="15" spans="1:97" x14ac:dyDescent="0.25">
      <c r="A15" s="78"/>
      <c r="B15" s="122">
        <v>34</v>
      </c>
      <c r="C15" s="123">
        <v>86</v>
      </c>
      <c r="D15" s="123">
        <v>351</v>
      </c>
      <c r="E15" s="123">
        <v>280</v>
      </c>
      <c r="F15" s="124">
        <v>320</v>
      </c>
      <c r="G15" s="7">
        <f t="shared" si="0"/>
        <v>214.2</v>
      </c>
      <c r="AI15" s="16" t="s">
        <v>69</v>
      </c>
      <c r="AJ15" s="16">
        <v>58233.942857142829</v>
      </c>
      <c r="AK15" s="16">
        <v>6</v>
      </c>
      <c r="AL15" s="16">
        <v>9705.6571428571388</v>
      </c>
      <c r="AM15" s="16">
        <v>2.9519576278182553</v>
      </c>
      <c r="AN15" s="16">
        <v>2.6540423840703348E-2</v>
      </c>
      <c r="AO15" s="16">
        <v>2.5081888234232559</v>
      </c>
      <c r="AQ15" t="str">
        <f>A4</f>
        <v>Young</v>
      </c>
      <c r="AR15" s="102" t="e">
        <f t="array" aca="1" ref="AR15:AV19" ca="1">COV(B4:F10)</f>
        <v>#NAME?</v>
      </c>
      <c r="AS15" s="103" t="e">
        <f ca="1"/>
        <v>#NAME?</v>
      </c>
      <c r="AT15" s="103" t="e">
        <f ca="1"/>
        <v>#NAME?</v>
      </c>
      <c r="AU15" s="103" t="e">
        <f ca="1"/>
        <v>#NAME?</v>
      </c>
      <c r="AV15" s="104" t="e">
        <f ca="1"/>
        <v>#NAME?</v>
      </c>
      <c r="AX15" t="s">
        <v>150</v>
      </c>
      <c r="AY15" s="78" t="e">
        <f ca="1">AVERAGE(AR21:AV21)</f>
        <v>#NAME?</v>
      </c>
      <c r="BA15" t="s">
        <v>149</v>
      </c>
      <c r="BB15" s="78">
        <f>AY14</f>
        <v>5</v>
      </c>
      <c r="BD15" s="128">
        <v>250</v>
      </c>
      <c r="BE15" s="129">
        <v>278</v>
      </c>
      <c r="BF15" s="129">
        <v>442</v>
      </c>
      <c r="BG15" s="129">
        <v>368</v>
      </c>
      <c r="BH15" s="130">
        <v>456</v>
      </c>
      <c r="BI15" s="128">
        <v>54</v>
      </c>
      <c r="BJ15" s="129">
        <v>172</v>
      </c>
      <c r="BK15" s="129">
        <v>307</v>
      </c>
      <c r="BL15" s="129">
        <v>261</v>
      </c>
      <c r="BM15" s="130">
        <v>360</v>
      </c>
      <c r="BN15" s="128">
        <v>118</v>
      </c>
      <c r="BO15" s="129">
        <v>124</v>
      </c>
      <c r="BP15" s="129">
        <v>365</v>
      </c>
      <c r="BQ15" s="129">
        <v>311</v>
      </c>
      <c r="BR15" s="130">
        <v>331</v>
      </c>
      <c r="BT15" t="s">
        <v>6</v>
      </c>
      <c r="BU15" s="23">
        <f>AVERAGE(BU8:BU14)</f>
        <v>184.85714285714286</v>
      </c>
      <c r="BV15" s="23">
        <f>AVERAGE(BV8:BV14)</f>
        <v>54.428571428571431</v>
      </c>
      <c r="BW15" s="23">
        <f>AVERAGE(BW8:BW14)</f>
        <v>87.428571428571431</v>
      </c>
      <c r="BX15" s="136"/>
      <c r="BY15" s="136"/>
      <c r="BZ15" s="136"/>
      <c r="CA15" s="136"/>
      <c r="CC15" s="87" t="s">
        <v>107</v>
      </c>
      <c r="CD15" s="87" t="s">
        <v>76</v>
      </c>
      <c r="CE15" s="87" t="s">
        <v>37</v>
      </c>
      <c r="CF15" s="87" t="s">
        <v>78</v>
      </c>
      <c r="CG15" s="87" t="s">
        <v>68</v>
      </c>
      <c r="CH15" s="87" t="s">
        <v>62</v>
      </c>
      <c r="CI15" s="87" t="s">
        <v>108</v>
      </c>
      <c r="CK15" s="22" t="s">
        <v>43</v>
      </c>
      <c r="CL15" s="78" t="e">
        <f ca="1">CHIDIST(CL13,CL14)</f>
        <v>#NAME?</v>
      </c>
      <c r="CN15" t="s">
        <v>322</v>
      </c>
      <c r="CO15" s="78" t="e">
        <f ca="1">CL11/CO13</f>
        <v>#NAME?</v>
      </c>
    </row>
    <row r="16" spans="1:97" x14ac:dyDescent="0.25">
      <c r="A16" s="78"/>
      <c r="B16" s="122">
        <v>29</v>
      </c>
      <c r="C16" s="123">
        <v>81</v>
      </c>
      <c r="D16" s="123">
        <v>193</v>
      </c>
      <c r="E16" s="123">
        <v>240</v>
      </c>
      <c r="F16" s="124">
        <v>233</v>
      </c>
      <c r="G16" s="7">
        <f t="shared" si="0"/>
        <v>155.19999999999999</v>
      </c>
      <c r="AI16" s="16" t="s">
        <v>123</v>
      </c>
      <c r="AJ16" s="16">
        <v>412173.88571428566</v>
      </c>
      <c r="AK16" s="16">
        <v>4</v>
      </c>
      <c r="AL16" s="16">
        <v>103043.47142857141</v>
      </c>
      <c r="AM16" s="16">
        <v>31.340480814769411</v>
      </c>
      <c r="AN16" s="16">
        <v>3.2800032757234696E-9</v>
      </c>
      <c r="AO16" s="16">
        <v>2.7762892892514786</v>
      </c>
      <c r="AR16" s="107" t="e">
        <f ca="1"/>
        <v>#NAME?</v>
      </c>
      <c r="AS16" s="7" t="e">
        <f ca="1"/>
        <v>#NAME?</v>
      </c>
      <c r="AT16" s="7" t="e">
        <f ca="1"/>
        <v>#NAME?</v>
      </c>
      <c r="AU16" s="7" t="e">
        <f ca="1"/>
        <v>#NAME?</v>
      </c>
      <c r="AV16" s="108" t="e">
        <f ca="1"/>
        <v>#NAME?</v>
      </c>
      <c r="AX16" t="s">
        <v>151</v>
      </c>
      <c r="AY16" s="78" t="e">
        <f ca="1">AVERAGE(AR15:AV19)</f>
        <v>#NAME?</v>
      </c>
      <c r="BA16" t="s">
        <v>156</v>
      </c>
      <c r="BB16" s="78" t="e">
        <f ca="1">AY21</f>
        <v>#NAME?</v>
      </c>
      <c r="BD16" s="131">
        <v>65</v>
      </c>
      <c r="BE16" s="23">
        <v>207</v>
      </c>
      <c r="BF16" s="23">
        <v>341</v>
      </c>
      <c r="BG16" s="23">
        <v>382</v>
      </c>
      <c r="BH16" s="132">
        <v>298</v>
      </c>
      <c r="BI16" s="131">
        <v>20</v>
      </c>
      <c r="BJ16" s="23">
        <v>116</v>
      </c>
      <c r="BK16" s="23">
        <v>425</v>
      </c>
      <c r="BL16" s="23">
        <v>398</v>
      </c>
      <c r="BM16" s="132">
        <v>268</v>
      </c>
      <c r="BN16" s="131">
        <v>83</v>
      </c>
      <c r="BO16" s="23">
        <v>266</v>
      </c>
      <c r="BP16" s="23">
        <v>382</v>
      </c>
      <c r="BQ16" s="23">
        <v>369</v>
      </c>
      <c r="BR16" s="132">
        <v>295</v>
      </c>
      <c r="BT16" t="s">
        <v>7</v>
      </c>
      <c r="BU16" s="23">
        <f>VAR(BU8:BU15)</f>
        <v>5118.1224489795941</v>
      </c>
      <c r="BV16" s="23">
        <f>VAR(BV8:BV14)</f>
        <v>4377.6190476190477</v>
      </c>
      <c r="BW16" s="23">
        <f>VAR(BW8:BW14)</f>
        <v>937.61904761904714</v>
      </c>
      <c r="CC16" s="16" t="s">
        <v>103</v>
      </c>
      <c r="CD16" s="16">
        <v>6153.8036929057344</v>
      </c>
      <c r="CE16" s="16">
        <v>2</v>
      </c>
      <c r="CF16" s="16">
        <v>3076.9018464528672</v>
      </c>
      <c r="CG16" s="16">
        <v>2.7143718540118629</v>
      </c>
      <c r="CH16" s="16">
        <v>9.3263461825975183E-2</v>
      </c>
      <c r="CI16" s="16">
        <v>3.5545571456617879</v>
      </c>
      <c r="CK16" s="22" t="s">
        <v>28</v>
      </c>
      <c r="CL16" s="78">
        <v>0.05</v>
      </c>
      <c r="CN16" t="s">
        <v>325</v>
      </c>
      <c r="CO16" s="78" t="e">
        <f ca="1">CO12*CL11/(CL14*(CO14-CO12))</f>
        <v>#NAME?</v>
      </c>
    </row>
    <row r="17" spans="1:93" ht="15.75" thickBot="1" x14ac:dyDescent="0.3">
      <c r="A17" s="58"/>
      <c r="B17" s="125">
        <v>3</v>
      </c>
      <c r="C17" s="126">
        <v>54</v>
      </c>
      <c r="D17" s="126">
        <v>285</v>
      </c>
      <c r="E17" s="126">
        <v>216</v>
      </c>
      <c r="F17" s="127">
        <v>245</v>
      </c>
      <c r="G17" s="7">
        <f t="shared" si="0"/>
        <v>160.6</v>
      </c>
      <c r="W17" t="s">
        <v>160</v>
      </c>
      <c r="AI17" s="16" t="s">
        <v>122</v>
      </c>
      <c r="AJ17" s="16">
        <v>78908.914285714331</v>
      </c>
      <c r="AK17" s="16">
        <v>24</v>
      </c>
      <c r="AL17" s="16">
        <v>3287.8714285714304</v>
      </c>
      <c r="AM17" s="16"/>
      <c r="AN17" s="16"/>
      <c r="AO17" s="16"/>
      <c r="AR17" s="107" t="e">
        <f ca="1"/>
        <v>#NAME?</v>
      </c>
      <c r="AS17" s="7" t="e">
        <f ca="1"/>
        <v>#NAME?</v>
      </c>
      <c r="AT17" s="7" t="e">
        <f ca="1"/>
        <v>#NAME?</v>
      </c>
      <c r="AU17" s="7" t="e">
        <f ca="1"/>
        <v>#NAME?</v>
      </c>
      <c r="AV17" s="108" t="e">
        <f ca="1"/>
        <v>#NAME?</v>
      </c>
      <c r="AX17" t="s">
        <v>152</v>
      </c>
      <c r="AY17" s="78" t="e">
        <f ca="1">SUMSQ(AR15:AV19)</f>
        <v>#NAME?</v>
      </c>
      <c r="BA17" t="s">
        <v>157</v>
      </c>
      <c r="BB17" s="78" t="e">
        <f ca="1">BB14*(BB15-1)*BB16-2</f>
        <v>#NAME?</v>
      </c>
      <c r="BD17" s="131">
        <v>251</v>
      </c>
      <c r="BE17" s="23">
        <v>261</v>
      </c>
      <c r="BF17" s="23">
        <v>384</v>
      </c>
      <c r="BG17" s="23">
        <v>421</v>
      </c>
      <c r="BH17" s="132">
        <v>342</v>
      </c>
      <c r="BI17" s="131">
        <v>41</v>
      </c>
      <c r="BJ17" s="23">
        <v>168</v>
      </c>
      <c r="BK17" s="23">
        <v>378</v>
      </c>
      <c r="BL17" s="23">
        <v>317</v>
      </c>
      <c r="BM17" s="132">
        <v>470</v>
      </c>
      <c r="BN17" s="131">
        <v>38</v>
      </c>
      <c r="BO17" s="23">
        <v>207</v>
      </c>
      <c r="BP17" s="23">
        <v>289</v>
      </c>
      <c r="BQ17" s="23">
        <v>385</v>
      </c>
      <c r="BR17" s="132">
        <v>373</v>
      </c>
      <c r="CC17" s="16" t="s">
        <v>104</v>
      </c>
      <c r="CD17" s="16">
        <v>20404.069970845478</v>
      </c>
      <c r="CE17" s="16">
        <v>18</v>
      </c>
      <c r="CF17" s="16">
        <v>1133.5594428247487</v>
      </c>
      <c r="CG17" s="16"/>
      <c r="CH17" s="16"/>
      <c r="CI17" s="16"/>
      <c r="CK17" s="22" t="s">
        <v>60</v>
      </c>
      <c r="CL17" s="78">
        <f>CHIINV(CL16,CL14)</f>
        <v>43.772971825742189</v>
      </c>
      <c r="CN17" t="s">
        <v>68</v>
      </c>
      <c r="CO17" s="78" t="e">
        <f ca="1">IF(CO11&gt;CL12^2,CO15,CO16)</f>
        <v>#NAME?</v>
      </c>
    </row>
    <row r="18" spans="1:93" x14ac:dyDescent="0.25">
      <c r="A18" s="105" t="s">
        <v>45</v>
      </c>
      <c r="B18" s="122">
        <v>118</v>
      </c>
      <c r="C18" s="123">
        <v>124</v>
      </c>
      <c r="D18" s="123">
        <v>365</v>
      </c>
      <c r="E18" s="123">
        <v>311</v>
      </c>
      <c r="F18" s="124">
        <v>331</v>
      </c>
      <c r="G18" s="7">
        <f t="shared" si="0"/>
        <v>249.8</v>
      </c>
      <c r="W18" s="84" t="s">
        <v>107</v>
      </c>
      <c r="X18" s="84" t="s">
        <v>76</v>
      </c>
      <c r="Y18" s="84" t="s">
        <v>37</v>
      </c>
      <c r="Z18" s="84" t="s">
        <v>78</v>
      </c>
      <c r="AA18" s="84" t="s">
        <v>68</v>
      </c>
      <c r="AB18" s="84" t="s">
        <v>62</v>
      </c>
      <c r="AC18" s="84" t="s">
        <v>108</v>
      </c>
      <c r="AI18" s="16"/>
      <c r="AJ18" s="16"/>
      <c r="AK18" s="16"/>
      <c r="AL18" s="16"/>
      <c r="AM18" s="16"/>
      <c r="AN18" s="16"/>
      <c r="AO18" s="16"/>
      <c r="AR18" s="107" t="e">
        <f ca="1"/>
        <v>#NAME?</v>
      </c>
      <c r="AS18" s="7" t="e">
        <f ca="1"/>
        <v>#NAME?</v>
      </c>
      <c r="AT18" s="7" t="e">
        <f ca="1"/>
        <v>#NAME?</v>
      </c>
      <c r="AU18" s="7" t="e">
        <f ca="1"/>
        <v>#NAME?</v>
      </c>
      <c r="AV18" s="108" t="e">
        <f ca="1"/>
        <v>#NAME?</v>
      </c>
      <c r="AX18" t="s">
        <v>153</v>
      </c>
      <c r="AY18" s="78" t="e">
        <f ca="1">SUMSQ(AR20:AV20)</f>
        <v>#NAME?</v>
      </c>
      <c r="BA18" t="s">
        <v>158</v>
      </c>
      <c r="BB18" s="78" t="e">
        <f ca="1">(BB15-1)*(BB14-1-(BB15-1)*BB16)</f>
        <v>#NAME?</v>
      </c>
      <c r="BD18" s="131">
        <v>241</v>
      </c>
      <c r="BE18" s="23">
        <v>314</v>
      </c>
      <c r="BF18" s="23">
        <v>423</v>
      </c>
      <c r="BG18" s="23">
        <v>415</v>
      </c>
      <c r="BH18" s="132">
        <v>468</v>
      </c>
      <c r="BI18" s="131">
        <v>200</v>
      </c>
      <c r="BJ18" s="23">
        <v>157</v>
      </c>
      <c r="BK18" s="23">
        <v>283</v>
      </c>
      <c r="BL18" s="23">
        <v>259</v>
      </c>
      <c r="BM18" s="132">
        <v>273</v>
      </c>
      <c r="BN18" s="131">
        <v>71</v>
      </c>
      <c r="BO18" s="23">
        <v>211</v>
      </c>
      <c r="BP18" s="23">
        <v>356</v>
      </c>
      <c r="BQ18" s="23">
        <v>380</v>
      </c>
      <c r="BR18" s="132">
        <v>305</v>
      </c>
      <c r="CC18" s="16"/>
      <c r="CD18" s="16"/>
      <c r="CE18" s="16"/>
      <c r="CF18" s="16"/>
      <c r="CG18" s="16"/>
      <c r="CH18" s="16"/>
      <c r="CI18" s="16"/>
      <c r="CK18" s="22" t="s">
        <v>111</v>
      </c>
      <c r="CL18" s="55" t="e">
        <f ca="1">IF(CL15&lt;CL16,"yes","no")</f>
        <v>#NAME?</v>
      </c>
      <c r="CN18" t="s">
        <v>43</v>
      </c>
      <c r="CO18" s="78" t="e">
        <f ca="1">F_DIST_RT(CO17,CL14,CO12)</f>
        <v>#NAME?</v>
      </c>
    </row>
    <row r="19" spans="1:93" ht="15.75" thickBot="1" x14ac:dyDescent="0.3">
      <c r="A19" s="78"/>
      <c r="B19" s="122">
        <v>83</v>
      </c>
      <c r="C19" s="123">
        <v>266</v>
      </c>
      <c r="D19" s="123">
        <v>382</v>
      </c>
      <c r="E19" s="123">
        <v>369</v>
      </c>
      <c r="F19" s="124">
        <v>295</v>
      </c>
      <c r="G19" s="7">
        <f t="shared" si="0"/>
        <v>279</v>
      </c>
      <c r="W19" s="16" t="s">
        <v>274</v>
      </c>
      <c r="X19" s="16">
        <f>X10</f>
        <v>1025800.38095238</v>
      </c>
      <c r="Y19" s="16" t="e">
        <f ca="1">Y10*$AY$48</f>
        <v>#NAME?</v>
      </c>
      <c r="Z19" s="16" t="e">
        <f ca="1">X19/Y19</f>
        <v>#NAME?</v>
      </c>
      <c r="AA19" s="16" t="e">
        <f ca="1">Z19/Z21</f>
        <v>#NAME?</v>
      </c>
      <c r="AB19" t="e">
        <f ca="1">F_DIST_RT(AA19,Y19,Y21)</f>
        <v>#NAME?</v>
      </c>
      <c r="AC19" t="e">
        <f ca="1">F_INV_RT(0.05,Y19,Y21)</f>
        <v>#NAME?</v>
      </c>
      <c r="AI19" s="17" t="s">
        <v>1</v>
      </c>
      <c r="AJ19" s="17">
        <v>549316.74285714282</v>
      </c>
      <c r="AK19" s="17">
        <v>34</v>
      </c>
      <c r="AL19" s="17"/>
      <c r="AM19" s="17"/>
      <c r="AN19" s="17"/>
      <c r="AO19" s="17"/>
      <c r="AR19" s="52" t="e">
        <f ca="1"/>
        <v>#NAME?</v>
      </c>
      <c r="AS19" s="53" t="e">
        <f ca="1"/>
        <v>#NAME?</v>
      </c>
      <c r="AT19" s="53" t="e">
        <f ca="1"/>
        <v>#NAME?</v>
      </c>
      <c r="AU19" s="53" t="e">
        <f ca="1"/>
        <v>#NAME?</v>
      </c>
      <c r="AV19" s="56" t="e">
        <f ca="1"/>
        <v>#NAME?</v>
      </c>
      <c r="AX19" t="s">
        <v>154</v>
      </c>
      <c r="AY19" s="78" t="e">
        <f ca="1">(AY14*(AY15-AY16))^2</f>
        <v>#NAME?</v>
      </c>
      <c r="BA19" t="s">
        <v>159</v>
      </c>
      <c r="BB19" s="58" t="e">
        <f ca="1">MIN(BB17/BB18,1)</f>
        <v>#NAME?</v>
      </c>
      <c r="BD19" s="131">
        <v>154</v>
      </c>
      <c r="BE19" s="23">
        <v>167</v>
      </c>
      <c r="BF19" s="23">
        <v>257</v>
      </c>
      <c r="BG19" s="23">
        <v>275</v>
      </c>
      <c r="BH19" s="132">
        <v>332</v>
      </c>
      <c r="BI19" s="131">
        <v>34</v>
      </c>
      <c r="BJ19" s="23">
        <v>86</v>
      </c>
      <c r="BK19" s="23">
        <v>351</v>
      </c>
      <c r="BL19" s="23">
        <v>280</v>
      </c>
      <c r="BM19" s="132">
        <v>320</v>
      </c>
      <c r="BN19" s="131">
        <v>123</v>
      </c>
      <c r="BO19" s="23">
        <v>331</v>
      </c>
      <c r="BP19" s="23">
        <v>407</v>
      </c>
      <c r="BQ19" s="23">
        <v>461</v>
      </c>
      <c r="BR19" s="132">
        <v>445</v>
      </c>
      <c r="CC19" s="17" t="s">
        <v>1</v>
      </c>
      <c r="CD19" s="17">
        <v>26557.873663751212</v>
      </c>
      <c r="CE19" s="17">
        <v>20</v>
      </c>
      <c r="CF19" s="17"/>
      <c r="CG19" s="17"/>
      <c r="CH19" s="17"/>
      <c r="CI19" s="17"/>
      <c r="CN19" t="s">
        <v>79</v>
      </c>
      <c r="CO19" s="78">
        <f>FINV(CL16,CL14,CO12)</f>
        <v>1.4703025266685064</v>
      </c>
    </row>
    <row r="20" spans="1:93" x14ac:dyDescent="0.25">
      <c r="A20" s="78"/>
      <c r="B20" s="122">
        <v>38</v>
      </c>
      <c r="C20" s="123">
        <v>207</v>
      </c>
      <c r="D20" s="123">
        <v>289</v>
      </c>
      <c r="E20" s="123">
        <v>385</v>
      </c>
      <c r="F20" s="124">
        <v>373</v>
      </c>
      <c r="G20" s="7">
        <f t="shared" si="0"/>
        <v>258.39999999999998</v>
      </c>
      <c r="W20" s="34" t="s">
        <v>277</v>
      </c>
      <c r="X20">
        <f>X11</f>
        <v>38740.076190477121</v>
      </c>
      <c r="Y20" s="16" t="e">
        <f ca="1">Y11*$AY$48</f>
        <v>#NAME?</v>
      </c>
      <c r="Z20" s="16" t="e">
        <f ca="1">X20/Y20</f>
        <v>#NAME?</v>
      </c>
      <c r="AA20" t="e">
        <f ca="1">Z20/Z21</f>
        <v>#NAME?</v>
      </c>
      <c r="AB20" t="e">
        <f ca="1">F_DIST_RT(AA20,Y20,Y21)</f>
        <v>#NAME?</v>
      </c>
      <c r="AC20" t="e">
        <f ca="1">F_INV_RT(0.05,Y20,Y21)</f>
        <v>#NAME?</v>
      </c>
      <c r="AQ20" t="s">
        <v>6</v>
      </c>
      <c r="AR20" t="e">
        <f ca="1">AVERAGE(AR15:AR19)</f>
        <v>#NAME?</v>
      </c>
      <c r="AS20" t="e">
        <f ca="1">AVERAGE(AS15:AS19)</f>
        <v>#NAME?</v>
      </c>
      <c r="AT20" t="e">
        <f ca="1">AVERAGE(AT15:AT19)</f>
        <v>#NAME?</v>
      </c>
      <c r="AU20" t="e">
        <f ca="1">AVERAGE(AU15:AU19)</f>
        <v>#NAME?</v>
      </c>
      <c r="AV20" t="e">
        <f ca="1">AVERAGE(AV15:AV19)</f>
        <v>#NAME?</v>
      </c>
      <c r="AX20" t="s">
        <v>155</v>
      </c>
      <c r="AY20" s="78" t="e">
        <f ca="1">(AY14-1)*(AY17-2*AY14*AY18+AY14^2*AY16^2)</f>
        <v>#NAME?</v>
      </c>
      <c r="BD20" s="131">
        <v>103</v>
      </c>
      <c r="BE20" s="23">
        <v>286</v>
      </c>
      <c r="BF20" s="23">
        <v>401</v>
      </c>
      <c r="BG20" s="23">
        <v>291</v>
      </c>
      <c r="BH20" s="132">
        <v>367</v>
      </c>
      <c r="BI20" s="131">
        <v>29</v>
      </c>
      <c r="BJ20" s="23">
        <v>81</v>
      </c>
      <c r="BK20" s="23">
        <v>193</v>
      </c>
      <c r="BL20" s="23">
        <v>240</v>
      </c>
      <c r="BM20" s="132">
        <v>233</v>
      </c>
      <c r="BN20" s="131">
        <v>71</v>
      </c>
      <c r="BO20" s="23">
        <v>285</v>
      </c>
      <c r="BP20" s="23">
        <v>471</v>
      </c>
      <c r="BQ20" s="23">
        <v>407</v>
      </c>
      <c r="BR20" s="132">
        <v>433</v>
      </c>
      <c r="CN20" t="s">
        <v>111</v>
      </c>
      <c r="CO20" s="55" t="e">
        <f ca="1">IF(CO18&lt;CL16,"yes","no")</f>
        <v>#NAME?</v>
      </c>
    </row>
    <row r="21" spans="1:93" ht="15.75" thickBot="1" x14ac:dyDescent="0.3">
      <c r="A21" s="78"/>
      <c r="B21" s="122">
        <v>71</v>
      </c>
      <c r="C21" s="123">
        <v>211</v>
      </c>
      <c r="D21" s="123">
        <v>356</v>
      </c>
      <c r="E21" s="123">
        <v>380</v>
      </c>
      <c r="F21" s="124">
        <v>305</v>
      </c>
      <c r="G21" s="7">
        <f t="shared" si="0"/>
        <v>264.60000000000002</v>
      </c>
      <c r="W21" s="470" t="s">
        <v>122</v>
      </c>
      <c r="X21" s="317">
        <f>X12</f>
        <v>161075.14285714249</v>
      </c>
      <c r="Y21" s="470" t="e">
        <f ca="1">Y12*$AY$48</f>
        <v>#NAME?</v>
      </c>
      <c r="Z21" s="470" t="e">
        <f ca="1">X21/Y21</f>
        <v>#NAME?</v>
      </c>
      <c r="AA21" s="317"/>
      <c r="AB21" s="317"/>
      <c r="AC21" s="317"/>
      <c r="AI21" t="s">
        <v>288</v>
      </c>
      <c r="AQ21" t="s">
        <v>7</v>
      </c>
      <c r="AR21" t="e">
        <f ca="1">INDEX(AR15:AR19,AR14)</f>
        <v>#NAME?</v>
      </c>
      <c r="AS21" t="e">
        <f ca="1">INDEX(AS15:AS19,AS14)</f>
        <v>#NAME?</v>
      </c>
      <c r="AT21" t="e">
        <f ca="1">INDEX(AT15:AT19,AT14)</f>
        <v>#NAME?</v>
      </c>
      <c r="AU21" t="e">
        <f ca="1">INDEX(AU15:AU19,AU14)</f>
        <v>#NAME?</v>
      </c>
      <c r="AV21" t="e">
        <f ca="1">INDEX(AV15:AV19,AV14)</f>
        <v>#NAME?</v>
      </c>
      <c r="AX21" t="s">
        <v>156</v>
      </c>
      <c r="AY21" s="42" t="e">
        <f ca="1">AY19/AY20</f>
        <v>#NAME?</v>
      </c>
      <c r="BA21" t="s">
        <v>203</v>
      </c>
      <c r="BB21" s="106">
        <f>1/(BB15-1)</f>
        <v>0.25</v>
      </c>
      <c r="BD21" s="133">
        <v>230</v>
      </c>
      <c r="BE21" s="134">
        <v>306</v>
      </c>
      <c r="BF21" s="134">
        <v>432</v>
      </c>
      <c r="BG21" s="134">
        <v>386</v>
      </c>
      <c r="BH21" s="135">
        <v>423</v>
      </c>
      <c r="BI21" s="133">
        <v>3</v>
      </c>
      <c r="BJ21" s="134">
        <v>54</v>
      </c>
      <c r="BK21" s="134">
        <v>285</v>
      </c>
      <c r="BL21" s="134">
        <v>216</v>
      </c>
      <c r="BM21" s="135">
        <v>245</v>
      </c>
      <c r="BN21" s="133">
        <v>108</v>
      </c>
      <c r="BO21" s="134">
        <v>247</v>
      </c>
      <c r="BP21" s="134">
        <v>317</v>
      </c>
      <c r="BQ21" s="134">
        <v>307</v>
      </c>
      <c r="BR21" s="135">
        <v>324</v>
      </c>
    </row>
    <row r="22" spans="1:93" x14ac:dyDescent="0.25">
      <c r="A22" s="78"/>
      <c r="B22" s="122">
        <v>123</v>
      </c>
      <c r="C22" s="123">
        <v>331</v>
      </c>
      <c r="D22" s="123">
        <v>407</v>
      </c>
      <c r="E22" s="123">
        <v>461</v>
      </c>
      <c r="F22" s="124">
        <v>445</v>
      </c>
      <c r="G22" s="7">
        <f t="shared" si="0"/>
        <v>353.4</v>
      </c>
      <c r="AI22" s="87" t="s">
        <v>107</v>
      </c>
      <c r="AJ22" s="87" t="s">
        <v>76</v>
      </c>
      <c r="AK22" s="87" t="s">
        <v>37</v>
      </c>
      <c r="AL22" s="87" t="s">
        <v>78</v>
      </c>
      <c r="AM22" s="87" t="s">
        <v>68</v>
      </c>
      <c r="AN22" s="87" t="s">
        <v>62</v>
      </c>
      <c r="AO22" s="87" t="s">
        <v>108</v>
      </c>
      <c r="BU22" t="s">
        <v>270</v>
      </c>
      <c r="CC22" t="s">
        <v>105</v>
      </c>
    </row>
    <row r="23" spans="1:93" ht="15.75" thickBot="1" x14ac:dyDescent="0.3">
      <c r="A23" s="78"/>
      <c r="B23" s="122">
        <v>71</v>
      </c>
      <c r="C23" s="123">
        <v>285</v>
      </c>
      <c r="D23" s="123">
        <v>471</v>
      </c>
      <c r="E23" s="123">
        <v>407</v>
      </c>
      <c r="F23" s="124">
        <v>433</v>
      </c>
      <c r="G23" s="7">
        <f t="shared" si="0"/>
        <v>333.4</v>
      </c>
      <c r="W23" t="s">
        <v>263</v>
      </c>
      <c r="AI23" s="16" t="s">
        <v>69</v>
      </c>
      <c r="AJ23" s="16">
        <v>50063.599999999977</v>
      </c>
      <c r="AK23" s="16">
        <v>6</v>
      </c>
      <c r="AL23" s="16">
        <v>8343.9333333333288</v>
      </c>
      <c r="AM23" s="16">
        <v>4.6952211118360836</v>
      </c>
      <c r="AN23" s="16">
        <v>2.7144649208904891E-3</v>
      </c>
      <c r="AO23" s="16">
        <v>2.5081888234232559</v>
      </c>
      <c r="AR23">
        <v>1</v>
      </c>
      <c r="AS23">
        <f>AR23+1</f>
        <v>2</v>
      </c>
      <c r="AT23">
        <f>AS23+1</f>
        <v>3</v>
      </c>
      <c r="AU23">
        <f>AT23+1</f>
        <v>4</v>
      </c>
      <c r="AV23">
        <f>AU23+1</f>
        <v>5</v>
      </c>
      <c r="AX23" t="s">
        <v>149</v>
      </c>
      <c r="AY23" s="95">
        <f>$K$5</f>
        <v>5</v>
      </c>
      <c r="BA23" t="s">
        <v>148</v>
      </c>
      <c r="BB23" s="105">
        <f>$L$5</f>
        <v>7</v>
      </c>
      <c r="BE23" s="86" t="s">
        <v>296</v>
      </c>
      <c r="BF23" s="86" t="s">
        <v>297</v>
      </c>
      <c r="BG23" s="86" t="s">
        <v>300</v>
      </c>
      <c r="BH23" s="86" t="s">
        <v>298</v>
      </c>
      <c r="BI23" s="86" t="s">
        <v>299</v>
      </c>
      <c r="BJ23" s="86" t="s">
        <v>305</v>
      </c>
      <c r="BK23" s="86" t="s">
        <v>301</v>
      </c>
      <c r="BL23" s="86" t="s">
        <v>302</v>
      </c>
      <c r="BM23" s="86" t="s">
        <v>303</v>
      </c>
      <c r="BN23" s="86" t="s">
        <v>304</v>
      </c>
      <c r="BO23" s="86" t="s">
        <v>306</v>
      </c>
      <c r="BP23" s="86" t="s">
        <v>307</v>
      </c>
      <c r="BQ23" s="86" t="s">
        <v>308</v>
      </c>
      <c r="BR23" s="86" t="s">
        <v>309</v>
      </c>
      <c r="BS23" s="86" t="s">
        <v>310</v>
      </c>
    </row>
    <row r="24" spans="1:93" ht="15.75" thickBot="1" x14ac:dyDescent="0.3">
      <c r="A24" s="58"/>
      <c r="B24" s="125">
        <v>108</v>
      </c>
      <c r="C24" s="126">
        <v>247</v>
      </c>
      <c r="D24" s="126">
        <v>317</v>
      </c>
      <c r="E24" s="126">
        <v>307</v>
      </c>
      <c r="F24" s="127">
        <v>324</v>
      </c>
      <c r="G24" s="7">
        <f t="shared" si="0"/>
        <v>260.60000000000002</v>
      </c>
      <c r="W24" s="84" t="s">
        <v>107</v>
      </c>
      <c r="X24" s="84" t="s">
        <v>76</v>
      </c>
      <c r="Y24" s="84" t="s">
        <v>37</v>
      </c>
      <c r="Z24" s="84" t="s">
        <v>78</v>
      </c>
      <c r="AA24" s="84" t="s">
        <v>68</v>
      </c>
      <c r="AB24" s="84" t="s">
        <v>62</v>
      </c>
      <c r="AC24" s="84" t="s">
        <v>108</v>
      </c>
      <c r="AI24" s="16" t="s">
        <v>123</v>
      </c>
      <c r="AJ24" s="16">
        <v>431398.11428571434</v>
      </c>
      <c r="AK24" s="16">
        <v>4</v>
      </c>
      <c r="AL24" s="16">
        <v>107849.52857142859</v>
      </c>
      <c r="AM24" s="16">
        <v>60.688090762566894</v>
      </c>
      <c r="AN24" s="16">
        <v>3.3537021761768956E-12</v>
      </c>
      <c r="AO24" s="16">
        <v>2.7762892892514786</v>
      </c>
      <c r="AQ24" t="str">
        <f>A11</f>
        <v>Middle</v>
      </c>
      <c r="AR24" s="102" t="e">
        <f t="array" aca="1" ref="AR24:AV28" ca="1">COV(B11:F17)</f>
        <v>#NAME?</v>
      </c>
      <c r="AS24" s="103" t="e">
        <f ca="1"/>
        <v>#NAME?</v>
      </c>
      <c r="AT24" s="103" t="e">
        <f ca="1"/>
        <v>#NAME?</v>
      </c>
      <c r="AU24" s="103" t="e">
        <f ca="1"/>
        <v>#NAME?</v>
      </c>
      <c r="AV24" s="104" t="e">
        <f ca="1"/>
        <v>#NAME?</v>
      </c>
      <c r="AX24" t="s">
        <v>150</v>
      </c>
      <c r="AY24" s="78" t="e">
        <f ca="1">AVERAGE(AR30:AV30)</f>
        <v>#NAME?</v>
      </c>
      <c r="BA24" t="s">
        <v>149</v>
      </c>
      <c r="BB24" s="78">
        <f>AY23</f>
        <v>5</v>
      </c>
      <c r="BD24" t="s">
        <v>29</v>
      </c>
      <c r="BE24">
        <f>MIN(BD15:BD21)</f>
        <v>65</v>
      </c>
      <c r="BF24">
        <f t="shared" ref="BF24:BS24" si="14">MIN(BE15:BE21)</f>
        <v>167</v>
      </c>
      <c r="BG24">
        <f t="shared" si="14"/>
        <v>257</v>
      </c>
      <c r="BH24">
        <f t="shared" si="14"/>
        <v>275</v>
      </c>
      <c r="BI24">
        <f t="shared" si="14"/>
        <v>298</v>
      </c>
      <c r="BJ24">
        <f t="shared" si="14"/>
        <v>3</v>
      </c>
      <c r="BK24">
        <f t="shared" si="14"/>
        <v>54</v>
      </c>
      <c r="BL24">
        <f t="shared" si="14"/>
        <v>193</v>
      </c>
      <c r="BM24">
        <f t="shared" si="14"/>
        <v>216</v>
      </c>
      <c r="BN24">
        <f t="shared" si="14"/>
        <v>233</v>
      </c>
      <c r="BO24">
        <f t="shared" si="14"/>
        <v>38</v>
      </c>
      <c r="BP24">
        <f t="shared" si="14"/>
        <v>124</v>
      </c>
      <c r="BQ24">
        <f t="shared" si="14"/>
        <v>289</v>
      </c>
      <c r="BR24">
        <f t="shared" si="14"/>
        <v>307</v>
      </c>
      <c r="BS24">
        <f t="shared" si="14"/>
        <v>295</v>
      </c>
      <c r="BU24" s="86" t="s">
        <v>267</v>
      </c>
      <c r="BV24" s="86" t="s">
        <v>268</v>
      </c>
      <c r="BW24" s="86" t="s">
        <v>45</v>
      </c>
      <c r="BX24" s="44"/>
      <c r="BY24" s="86" t="s">
        <v>267</v>
      </c>
      <c r="BZ24" s="86" t="s">
        <v>268</v>
      </c>
      <c r="CA24" s="86" t="s">
        <v>45</v>
      </c>
      <c r="CC24" t="s">
        <v>39</v>
      </c>
    </row>
    <row r="25" spans="1:93" x14ac:dyDescent="0.25">
      <c r="W25" s="16" t="s">
        <v>274</v>
      </c>
      <c r="X25" s="16">
        <f>X10</f>
        <v>1025800.38095238</v>
      </c>
      <c r="Y25" s="16" t="e">
        <f ca="1">Y10*$BB$47</f>
        <v>#NAME?</v>
      </c>
      <c r="Z25" s="16" t="e">
        <f ca="1">X25/Y25</f>
        <v>#NAME?</v>
      </c>
      <c r="AA25" s="16" t="e">
        <f ca="1">Z25/Z27</f>
        <v>#NAME?</v>
      </c>
      <c r="AB25" t="e">
        <f ca="1">F_DIST_RT(AA25,Y25,Y27)</f>
        <v>#NAME?</v>
      </c>
      <c r="AC25" t="e">
        <f ca="1">F_INV_RT(0.05,Y25,Y27)</f>
        <v>#NAME?</v>
      </c>
      <c r="AI25" s="16" t="s">
        <v>122</v>
      </c>
      <c r="AJ25" s="16">
        <v>42650.685714285704</v>
      </c>
      <c r="AK25" s="16">
        <v>24</v>
      </c>
      <c r="AL25" s="16">
        <v>1777.1119047619043</v>
      </c>
      <c r="AM25" s="16"/>
      <c r="AN25" s="16"/>
      <c r="AO25" s="16"/>
      <c r="AR25" s="107" t="e">
        <f ca="1"/>
        <v>#NAME?</v>
      </c>
      <c r="AS25" s="7" t="e">
        <f ca="1"/>
        <v>#NAME?</v>
      </c>
      <c r="AT25" s="7" t="e">
        <f ca="1"/>
        <v>#NAME?</v>
      </c>
      <c r="AU25" s="7" t="e">
        <f ca="1"/>
        <v>#NAME?</v>
      </c>
      <c r="AV25" s="108" t="e">
        <f ca="1"/>
        <v>#NAME?</v>
      </c>
      <c r="AX25" t="s">
        <v>151</v>
      </c>
      <c r="AY25" s="78" t="e">
        <f ca="1">AVERAGE(AR24:AV28)</f>
        <v>#NAME?</v>
      </c>
      <c r="BA25" t="s">
        <v>156</v>
      </c>
      <c r="BB25" s="78" t="e">
        <f ca="1">AY30</f>
        <v>#NAME?</v>
      </c>
      <c r="BD25" t="s">
        <v>30</v>
      </c>
      <c r="BE25">
        <f>QUARTILE(BD15:BD21,1)-BE24</f>
        <v>63.5</v>
      </c>
      <c r="BF25">
        <f t="shared" ref="BF25:BS25" si="15">QUARTILE(BE15:BE21,1)-BF24</f>
        <v>67</v>
      </c>
      <c r="BG25">
        <f t="shared" si="15"/>
        <v>105.5</v>
      </c>
      <c r="BH25">
        <f t="shared" si="15"/>
        <v>54.5</v>
      </c>
      <c r="BI25">
        <f t="shared" si="15"/>
        <v>39</v>
      </c>
      <c r="BJ25">
        <f t="shared" si="15"/>
        <v>21.5</v>
      </c>
      <c r="BK25">
        <f t="shared" si="15"/>
        <v>29.5</v>
      </c>
      <c r="BL25">
        <f t="shared" si="15"/>
        <v>91</v>
      </c>
      <c r="BM25">
        <f t="shared" si="15"/>
        <v>33.5</v>
      </c>
      <c r="BN25">
        <f t="shared" si="15"/>
        <v>23.5</v>
      </c>
      <c r="BO25">
        <f t="shared" si="15"/>
        <v>33</v>
      </c>
      <c r="BP25">
        <f t="shared" si="15"/>
        <v>85</v>
      </c>
      <c r="BQ25">
        <f t="shared" si="15"/>
        <v>47.5</v>
      </c>
      <c r="BR25">
        <f t="shared" si="15"/>
        <v>33</v>
      </c>
      <c r="BS25">
        <f t="shared" si="15"/>
        <v>19.5</v>
      </c>
      <c r="BU25" s="61">
        <f t="shared" ref="BU25:BU31" si="16">C4</f>
        <v>278</v>
      </c>
      <c r="BV25" s="117">
        <f t="shared" ref="BV25:BV31" si="17">C11</f>
        <v>172</v>
      </c>
      <c r="BW25" s="118">
        <f t="shared" ref="BW25:BW31" si="18">C18</f>
        <v>124</v>
      </c>
      <c r="BX25" s="47"/>
      <c r="BY25" s="61">
        <f>ABS(BU25-BU$32)</f>
        <v>18.142857142857167</v>
      </c>
      <c r="BZ25" s="117">
        <f>ABS(BV25-BV$32)</f>
        <v>52.857142857142861</v>
      </c>
      <c r="CA25" s="118">
        <f>ABS(BW25-BW$32)</f>
        <v>114.71428571428572</v>
      </c>
      <c r="CC25" s="87" t="s">
        <v>47</v>
      </c>
      <c r="CD25" s="87" t="s">
        <v>11</v>
      </c>
      <c r="CE25" s="87" t="s">
        <v>10</v>
      </c>
      <c r="CF25" s="87" t="s">
        <v>106</v>
      </c>
      <c r="CG25" s="87" t="s">
        <v>48</v>
      </c>
    </row>
    <row r="26" spans="1:93" x14ac:dyDescent="0.25">
      <c r="W26" s="34" t="s">
        <v>277</v>
      </c>
      <c r="X26">
        <f>X11</f>
        <v>38740.076190477121</v>
      </c>
      <c r="Y26" s="16" t="e">
        <f ca="1">Y11*$BB$47</f>
        <v>#NAME?</v>
      </c>
      <c r="Z26" s="16" t="e">
        <f ca="1">X26/Y26</f>
        <v>#NAME?</v>
      </c>
      <c r="AA26" t="e">
        <f ca="1">Z26/Z27</f>
        <v>#NAME?</v>
      </c>
      <c r="AB26" t="e">
        <f ca="1">F_DIST_RT(AA26,Y26,Y27)</f>
        <v>#NAME?</v>
      </c>
      <c r="AC26" t="e">
        <f ca="1">F_INV_RT(0.05,Y26,Y27)</f>
        <v>#NAME?</v>
      </c>
      <c r="AI26" s="16"/>
      <c r="AJ26" s="16"/>
      <c r="AK26" s="16"/>
      <c r="AL26" s="16"/>
      <c r="AM26" s="16"/>
      <c r="AN26" s="16"/>
      <c r="AO26" s="16"/>
      <c r="AR26" s="107" t="e">
        <f ca="1"/>
        <v>#NAME?</v>
      </c>
      <c r="AS26" s="7" t="e">
        <f ca="1"/>
        <v>#NAME?</v>
      </c>
      <c r="AT26" s="7" t="e">
        <f ca="1"/>
        <v>#NAME?</v>
      </c>
      <c r="AU26" s="7" t="e">
        <f ca="1"/>
        <v>#NAME?</v>
      </c>
      <c r="AV26" s="108" t="e">
        <f ca="1"/>
        <v>#NAME?</v>
      </c>
      <c r="AX26" t="s">
        <v>152</v>
      </c>
      <c r="AY26" s="78" t="e">
        <f ca="1">SUMSQ(AR24:AV28)</f>
        <v>#NAME?</v>
      </c>
      <c r="BA26" t="s">
        <v>157</v>
      </c>
      <c r="BB26" s="78" t="e">
        <f ca="1">BB23*(BB24-1)*BB25-2</f>
        <v>#NAME?</v>
      </c>
      <c r="BD26" t="s">
        <v>31</v>
      </c>
      <c r="BE26">
        <f>MEDIAN(BD15:BD21)-QUARTILE(BD15:BD21,1)</f>
        <v>101.5</v>
      </c>
      <c r="BF26">
        <f t="shared" ref="BF26:BS26" si="19">MEDIAN(BE15:BE21)-QUARTILE(BE15:BE21,1)</f>
        <v>44</v>
      </c>
      <c r="BG26">
        <f t="shared" si="19"/>
        <v>38.5</v>
      </c>
      <c r="BH26">
        <f t="shared" si="19"/>
        <v>52.5</v>
      </c>
      <c r="BI26">
        <f t="shared" si="19"/>
        <v>30</v>
      </c>
      <c r="BJ26">
        <f t="shared" si="19"/>
        <v>9.5</v>
      </c>
      <c r="BK26">
        <f t="shared" si="19"/>
        <v>32.5</v>
      </c>
      <c r="BL26">
        <f t="shared" si="19"/>
        <v>23</v>
      </c>
      <c r="BM26">
        <f t="shared" si="19"/>
        <v>11.5</v>
      </c>
      <c r="BN26">
        <f t="shared" si="19"/>
        <v>16.5</v>
      </c>
      <c r="BO26">
        <f t="shared" si="19"/>
        <v>12</v>
      </c>
      <c r="BP26">
        <f t="shared" si="19"/>
        <v>38</v>
      </c>
      <c r="BQ26">
        <f t="shared" si="19"/>
        <v>28.5</v>
      </c>
      <c r="BR26">
        <f t="shared" si="19"/>
        <v>40</v>
      </c>
      <c r="BS26">
        <f t="shared" si="19"/>
        <v>16.5</v>
      </c>
      <c r="BU26" s="107">
        <f t="shared" si="16"/>
        <v>207</v>
      </c>
      <c r="BV26" s="7">
        <f t="shared" si="17"/>
        <v>116</v>
      </c>
      <c r="BW26" s="108">
        <f t="shared" si="18"/>
        <v>266</v>
      </c>
      <c r="BX26" s="47"/>
      <c r="BY26" s="107">
        <f t="shared" ref="BY26:BY31" si="20">ABS(BU26-BU$32)</f>
        <v>52.857142857142833</v>
      </c>
      <c r="BZ26" s="7">
        <f t="shared" ref="BZ26:BZ31" si="21">ABS(BV26-BV$32)</f>
        <v>3.1428571428571388</v>
      </c>
      <c r="CA26" s="108">
        <f t="shared" ref="CA26:CA31" si="22">ABS(BW26-BW$32)</f>
        <v>27.285714285714278</v>
      </c>
      <c r="CC26" s="16" t="s">
        <v>267</v>
      </c>
      <c r="CD26" s="16">
        <v>7</v>
      </c>
      <c r="CE26" s="16">
        <v>291.4285714285715</v>
      </c>
      <c r="CF26" s="16">
        <v>41.632653061224502</v>
      </c>
      <c r="CG26" s="16">
        <v>892.98542274052397</v>
      </c>
    </row>
    <row r="27" spans="1:93" ht="15.75" thickBot="1" x14ac:dyDescent="0.3">
      <c r="W27" s="470" t="s">
        <v>122</v>
      </c>
      <c r="X27" s="317">
        <f>X12</f>
        <v>161075.14285714249</v>
      </c>
      <c r="Y27" s="470" t="e">
        <f ca="1">Y12*$BB$47</f>
        <v>#NAME?</v>
      </c>
      <c r="Z27" s="470" t="e">
        <f ca="1">X27/Y27</f>
        <v>#NAME?</v>
      </c>
      <c r="AA27" s="317"/>
      <c r="AB27" s="317"/>
      <c r="AC27" s="317"/>
      <c r="AI27" s="17" t="s">
        <v>1</v>
      </c>
      <c r="AJ27" s="17">
        <v>524112.4</v>
      </c>
      <c r="AK27" s="17">
        <v>34</v>
      </c>
      <c r="AL27" s="17"/>
      <c r="AM27" s="17"/>
      <c r="AN27" s="17"/>
      <c r="AO27" s="17"/>
      <c r="AR27" s="107" t="e">
        <f ca="1"/>
        <v>#NAME?</v>
      </c>
      <c r="AS27" s="7" t="e">
        <f ca="1"/>
        <v>#NAME?</v>
      </c>
      <c r="AT27" s="7" t="e">
        <f ca="1"/>
        <v>#NAME?</v>
      </c>
      <c r="AU27" s="7" t="e">
        <f ca="1"/>
        <v>#NAME?</v>
      </c>
      <c r="AV27" s="108" t="e">
        <f ca="1"/>
        <v>#NAME?</v>
      </c>
      <c r="AX27" t="s">
        <v>153</v>
      </c>
      <c r="AY27" s="78" t="e">
        <f ca="1">SUMSQ(AR29:AV29)</f>
        <v>#NAME?</v>
      </c>
      <c r="BA27" t="s">
        <v>158</v>
      </c>
      <c r="BB27" s="78" t="e">
        <f ca="1">(BB24-1)*(BB23-1-(BB24-1)*BB25)</f>
        <v>#NAME?</v>
      </c>
      <c r="BD27" t="s">
        <v>32</v>
      </c>
      <c r="BE27">
        <f>QUARTILE(BD15:BD21,3)-MEDIAN(BD15:BD21)</f>
        <v>15.5</v>
      </c>
      <c r="BF27">
        <f t="shared" ref="BF27:BS27" si="23">QUARTILE(BE15:BE21,3)-MEDIAN(BE15:BE21)</f>
        <v>18</v>
      </c>
      <c r="BG27">
        <f t="shared" si="23"/>
        <v>26.5</v>
      </c>
      <c r="BH27">
        <f t="shared" si="23"/>
        <v>18.5</v>
      </c>
      <c r="BI27">
        <f t="shared" si="23"/>
        <v>72.5</v>
      </c>
      <c r="BJ27">
        <f t="shared" si="23"/>
        <v>13.5</v>
      </c>
      <c r="BK27">
        <f t="shared" si="23"/>
        <v>46.5</v>
      </c>
      <c r="BL27">
        <f t="shared" si="23"/>
        <v>57.5</v>
      </c>
      <c r="BM27">
        <f t="shared" si="23"/>
        <v>37.5</v>
      </c>
      <c r="BN27">
        <f t="shared" si="23"/>
        <v>67</v>
      </c>
      <c r="BO27">
        <f t="shared" si="23"/>
        <v>30</v>
      </c>
      <c r="BP27">
        <f t="shared" si="23"/>
        <v>28.5</v>
      </c>
      <c r="BQ27">
        <f t="shared" si="23"/>
        <v>29.5</v>
      </c>
      <c r="BR27">
        <f t="shared" si="23"/>
        <v>16</v>
      </c>
      <c r="BS27">
        <f t="shared" si="23"/>
        <v>72</v>
      </c>
      <c r="BU27" s="107">
        <f t="shared" si="16"/>
        <v>261</v>
      </c>
      <c r="BV27" s="7">
        <f t="shared" si="17"/>
        <v>168</v>
      </c>
      <c r="BW27" s="108">
        <f t="shared" si="18"/>
        <v>207</v>
      </c>
      <c r="BX27" s="47"/>
      <c r="BY27" s="107">
        <f t="shared" si="20"/>
        <v>1.1428571428571672</v>
      </c>
      <c r="BZ27" s="7">
        <f t="shared" si="21"/>
        <v>48.857142857142861</v>
      </c>
      <c r="CA27" s="108">
        <f t="shared" si="22"/>
        <v>31.714285714285722</v>
      </c>
      <c r="CC27" s="16" t="s">
        <v>268</v>
      </c>
      <c r="CD27" s="16">
        <v>7</v>
      </c>
      <c r="CE27" s="16">
        <v>279.14285714285711</v>
      </c>
      <c r="CF27" s="16">
        <v>39.877551020408156</v>
      </c>
      <c r="CG27" s="16">
        <v>381.55393586005874</v>
      </c>
    </row>
    <row r="28" spans="1:93" ht="15.75" thickBot="1" x14ac:dyDescent="0.3">
      <c r="AR28" s="52" t="e">
        <f ca="1"/>
        <v>#NAME?</v>
      </c>
      <c r="AS28" s="53" t="e">
        <f ca="1"/>
        <v>#NAME?</v>
      </c>
      <c r="AT28" s="53" t="e">
        <f ca="1"/>
        <v>#NAME?</v>
      </c>
      <c r="AU28" s="53" t="e">
        <f ca="1"/>
        <v>#NAME?</v>
      </c>
      <c r="AV28" s="56" t="e">
        <f ca="1"/>
        <v>#NAME?</v>
      </c>
      <c r="AX28" t="s">
        <v>154</v>
      </c>
      <c r="AY28" s="78" t="e">
        <f ca="1">(AY23*(AY24-AY25))^2</f>
        <v>#NAME?</v>
      </c>
      <c r="BA28" t="s">
        <v>159</v>
      </c>
      <c r="BB28" s="58" t="e">
        <f ca="1">MIN(BB26/BB27,1)</f>
        <v>#NAME?</v>
      </c>
      <c r="BD28" t="s">
        <v>33</v>
      </c>
      <c r="BE28">
        <f>MAX(BD15:BD21)-QUARTILE(BD15:BD21,3)</f>
        <v>5.5</v>
      </c>
      <c r="BF28">
        <f t="shared" ref="BF28:BS28" si="24">MAX(BE15:BE21)-QUARTILE(BE15:BE21,3)</f>
        <v>18</v>
      </c>
      <c r="BG28">
        <f t="shared" si="24"/>
        <v>14.5</v>
      </c>
      <c r="BH28">
        <f t="shared" si="24"/>
        <v>20.5</v>
      </c>
      <c r="BI28">
        <f t="shared" si="24"/>
        <v>28.5</v>
      </c>
      <c r="BJ28">
        <f t="shared" si="24"/>
        <v>152.5</v>
      </c>
      <c r="BK28">
        <f t="shared" si="24"/>
        <v>9.5</v>
      </c>
      <c r="BL28">
        <f t="shared" si="24"/>
        <v>60.5</v>
      </c>
      <c r="BM28">
        <f t="shared" si="24"/>
        <v>99.5</v>
      </c>
      <c r="BN28">
        <f t="shared" si="24"/>
        <v>130</v>
      </c>
      <c r="BO28">
        <f t="shared" si="24"/>
        <v>10</v>
      </c>
      <c r="BP28">
        <f t="shared" si="24"/>
        <v>55.5</v>
      </c>
      <c r="BQ28">
        <f t="shared" si="24"/>
        <v>76.5</v>
      </c>
      <c r="BR28">
        <f t="shared" si="24"/>
        <v>65</v>
      </c>
      <c r="BS28">
        <f t="shared" si="24"/>
        <v>42</v>
      </c>
      <c r="BU28" s="107">
        <f t="shared" si="16"/>
        <v>314</v>
      </c>
      <c r="BV28" s="7">
        <f t="shared" si="17"/>
        <v>157</v>
      </c>
      <c r="BW28" s="108">
        <f t="shared" si="18"/>
        <v>211</v>
      </c>
      <c r="BX28" s="47"/>
      <c r="BY28" s="107">
        <f t="shared" si="20"/>
        <v>54.142857142857167</v>
      </c>
      <c r="BZ28" s="7">
        <f t="shared" si="21"/>
        <v>37.857142857142861</v>
      </c>
      <c r="CA28" s="108">
        <f t="shared" si="22"/>
        <v>27.714285714285722</v>
      </c>
      <c r="CC28" s="17" t="s">
        <v>45</v>
      </c>
      <c r="CD28" s="17">
        <v>7</v>
      </c>
      <c r="CE28" s="17">
        <v>348.28571428571428</v>
      </c>
      <c r="CF28" s="17">
        <v>49.755102040816325</v>
      </c>
      <c r="CG28" s="17">
        <v>1512.7395529640442</v>
      </c>
    </row>
    <row r="29" spans="1:93" x14ac:dyDescent="0.25">
      <c r="AI29" t="s">
        <v>265</v>
      </c>
      <c r="AL29">
        <f>(AL9+AL17+AL25)/3</f>
        <v>2237.1547619047633</v>
      </c>
      <c r="AQ29" t="s">
        <v>6</v>
      </c>
      <c r="AR29" t="e">
        <f ca="1">AVERAGE(AR24:AR28)</f>
        <v>#NAME?</v>
      </c>
      <c r="AS29" t="e">
        <f ca="1">AVERAGE(AS24:AS28)</f>
        <v>#NAME?</v>
      </c>
      <c r="AT29" t="e">
        <f ca="1">AVERAGE(AT24:AT28)</f>
        <v>#NAME?</v>
      </c>
      <c r="AU29" t="e">
        <f ca="1">AVERAGE(AU24:AU28)</f>
        <v>#NAME?</v>
      </c>
      <c r="AV29" t="e">
        <f ca="1">AVERAGE(AV24:AV28)</f>
        <v>#NAME?</v>
      </c>
      <c r="AX29" t="s">
        <v>155</v>
      </c>
      <c r="AY29" s="78" t="e">
        <f ca="1">(AY23-1)*(AY26-2*AY23*AY27+AY23^2*AY25^2)</f>
        <v>#NAME?</v>
      </c>
      <c r="BU29" s="107">
        <f t="shared" si="16"/>
        <v>167</v>
      </c>
      <c r="BV29" s="7">
        <f t="shared" si="17"/>
        <v>86</v>
      </c>
      <c r="BW29" s="108">
        <f t="shared" si="18"/>
        <v>331</v>
      </c>
      <c r="BX29" s="47"/>
      <c r="BY29" s="107">
        <f t="shared" si="20"/>
        <v>92.857142857142833</v>
      </c>
      <c r="BZ29" s="7">
        <f t="shared" si="21"/>
        <v>33.142857142857139</v>
      </c>
      <c r="CA29" s="108">
        <f t="shared" si="22"/>
        <v>92.285714285714278</v>
      </c>
    </row>
    <row r="30" spans="1:93" x14ac:dyDescent="0.25">
      <c r="AQ30" t="s">
        <v>7</v>
      </c>
      <c r="AR30" t="e">
        <f ca="1">INDEX(AR24:AR28,AR23)</f>
        <v>#NAME?</v>
      </c>
      <c r="AS30" t="e">
        <f ca="1">INDEX(AS24:AS28,AS23)</f>
        <v>#NAME?</v>
      </c>
      <c r="AT30" t="e">
        <f ca="1">INDEX(AT24:AT28,AT23)</f>
        <v>#NAME?</v>
      </c>
      <c r="AU30" t="e">
        <f ca="1">INDEX(AU24:AU28,AU23)</f>
        <v>#NAME?</v>
      </c>
      <c r="AV30" t="e">
        <f ca="1">INDEX(AV24:AV28,AV23)</f>
        <v>#NAME?</v>
      </c>
      <c r="AX30" t="s">
        <v>156</v>
      </c>
      <c r="AY30" s="42" t="e">
        <f ca="1">AY28/AY29</f>
        <v>#NAME?</v>
      </c>
      <c r="BA30" t="s">
        <v>203</v>
      </c>
      <c r="BB30" s="106">
        <f>1/(BB24-1)</f>
        <v>0.25</v>
      </c>
      <c r="BU30" s="107">
        <f t="shared" si="16"/>
        <v>286</v>
      </c>
      <c r="BV30" s="7">
        <f t="shared" si="17"/>
        <v>81</v>
      </c>
      <c r="BW30" s="108">
        <f t="shared" si="18"/>
        <v>285</v>
      </c>
      <c r="BX30" s="47"/>
      <c r="BY30" s="107">
        <f t="shared" si="20"/>
        <v>26.142857142857167</v>
      </c>
      <c r="BZ30" s="7">
        <f t="shared" si="21"/>
        <v>38.142857142857139</v>
      </c>
      <c r="CA30" s="108">
        <f t="shared" si="22"/>
        <v>46.285714285714278</v>
      </c>
    </row>
    <row r="31" spans="1:93" ht="15.75" thickBot="1" x14ac:dyDescent="0.3">
      <c r="AI31" t="s">
        <v>331</v>
      </c>
      <c r="BU31" s="52">
        <f t="shared" si="16"/>
        <v>306</v>
      </c>
      <c r="BV31" s="53">
        <f t="shared" si="17"/>
        <v>54</v>
      </c>
      <c r="BW31" s="56">
        <f t="shared" si="18"/>
        <v>247</v>
      </c>
      <c r="BX31" s="47"/>
      <c r="BY31" s="52">
        <f t="shared" si="20"/>
        <v>46.142857142857167</v>
      </c>
      <c r="BZ31" s="53">
        <f t="shared" si="21"/>
        <v>65.142857142857139</v>
      </c>
      <c r="CA31" s="56">
        <f t="shared" si="22"/>
        <v>8.2857142857142776</v>
      </c>
      <c r="CC31" t="s">
        <v>84</v>
      </c>
    </row>
    <row r="32" spans="1:93" x14ac:dyDescent="0.25">
      <c r="AR32">
        <v>1</v>
      </c>
      <c r="AS32">
        <f>AR32+1</f>
        <v>2</v>
      </c>
      <c r="AT32">
        <f>AS32+1</f>
        <v>3</v>
      </c>
      <c r="AU32">
        <f>AT32+1</f>
        <v>4</v>
      </c>
      <c r="AV32">
        <f>AU32+1</f>
        <v>5</v>
      </c>
      <c r="AX32" t="s">
        <v>149</v>
      </c>
      <c r="AY32" s="95">
        <f>$K$5</f>
        <v>5</v>
      </c>
      <c r="BA32" t="s">
        <v>148</v>
      </c>
      <c r="BB32" s="105">
        <f>$L$5</f>
        <v>7</v>
      </c>
      <c r="BT32" t="s">
        <v>6</v>
      </c>
      <c r="BU32" s="23">
        <f>AVERAGE(BU25:BU31)</f>
        <v>259.85714285714283</v>
      </c>
      <c r="BV32" s="23">
        <f>AVERAGE(BV25:BV31)</f>
        <v>119.14285714285714</v>
      </c>
      <c r="BW32" s="23">
        <f>AVERAGE(BW25:BW31)</f>
        <v>238.71428571428572</v>
      </c>
      <c r="BX32" s="136"/>
      <c r="BY32" s="136"/>
      <c r="BZ32" s="136"/>
      <c r="CA32" s="136"/>
      <c r="CC32" s="87" t="s">
        <v>107</v>
      </c>
      <c r="CD32" s="87" t="s">
        <v>76</v>
      </c>
      <c r="CE32" s="87" t="s">
        <v>37</v>
      </c>
      <c r="CF32" s="87" t="s">
        <v>78</v>
      </c>
      <c r="CG32" s="87" t="s">
        <v>68</v>
      </c>
      <c r="CH32" s="87" t="s">
        <v>62</v>
      </c>
      <c r="CI32" s="87" t="s">
        <v>108</v>
      </c>
    </row>
    <row r="33" spans="17:87" ht="15.75" thickBot="1" x14ac:dyDescent="0.3">
      <c r="Q33" t="s">
        <v>348</v>
      </c>
      <c r="AI33" t="s">
        <v>330</v>
      </c>
      <c r="AQ33" t="str">
        <f>A18</f>
        <v>Old</v>
      </c>
      <c r="AR33" s="102" t="e">
        <f t="array" aca="1" ref="AR33:AV37" ca="1">COV(B18:F24)</f>
        <v>#NAME?</v>
      </c>
      <c r="AS33" s="103" t="e">
        <f ca="1"/>
        <v>#NAME?</v>
      </c>
      <c r="AT33" s="103" t="e">
        <f ca="1"/>
        <v>#NAME?</v>
      </c>
      <c r="AU33" s="103" t="e">
        <f ca="1"/>
        <v>#NAME?</v>
      </c>
      <c r="AV33" s="104" t="e">
        <f ca="1"/>
        <v>#NAME?</v>
      </c>
      <c r="AX33" t="s">
        <v>150</v>
      </c>
      <c r="AY33" s="78" t="e">
        <f ca="1">AVERAGE(AR39:AV39)</f>
        <v>#NAME?</v>
      </c>
      <c r="BA33" t="s">
        <v>149</v>
      </c>
      <c r="BB33" s="78">
        <f>AY32</f>
        <v>5</v>
      </c>
      <c r="BT33" t="s">
        <v>7</v>
      </c>
      <c r="BU33" s="23">
        <f>VAR(BU25:BU32)</f>
        <v>2498.693877551023</v>
      </c>
      <c r="BV33" s="23">
        <f>VAR(BV25:BV31)</f>
        <v>2236.8095238095243</v>
      </c>
      <c r="BW33" s="23">
        <f>VAR(BW25:BW31)</f>
        <v>4400.9047619047633</v>
      </c>
      <c r="CC33" s="16" t="s">
        <v>103</v>
      </c>
      <c r="CD33" s="16">
        <v>388.78134110786777</v>
      </c>
      <c r="CE33" s="16">
        <v>2</v>
      </c>
      <c r="CF33" s="16">
        <v>194.39067055393389</v>
      </c>
      <c r="CG33" s="16">
        <v>0.20922628490538858</v>
      </c>
      <c r="CH33" s="16">
        <v>0.8131567763088754</v>
      </c>
      <c r="CI33" s="16">
        <v>3.5545571456617879</v>
      </c>
    </row>
    <row r="34" spans="17:87" x14ac:dyDescent="0.25">
      <c r="AI34" s="84" t="s">
        <v>107</v>
      </c>
      <c r="AJ34" s="84" t="s">
        <v>76</v>
      </c>
      <c r="AK34" s="84" t="s">
        <v>37</v>
      </c>
      <c r="AL34" s="84" t="s">
        <v>78</v>
      </c>
      <c r="AM34" s="84" t="s">
        <v>68</v>
      </c>
      <c r="AN34" s="84" t="s">
        <v>62</v>
      </c>
      <c r="AO34" s="84" t="s">
        <v>108</v>
      </c>
      <c r="AR34" s="107" t="e">
        <f ca="1"/>
        <v>#NAME?</v>
      </c>
      <c r="AS34" s="7" t="e">
        <f ca="1"/>
        <v>#NAME?</v>
      </c>
      <c r="AT34" s="7" t="e">
        <f ca="1"/>
        <v>#NAME?</v>
      </c>
      <c r="AU34" s="7" t="e">
        <f ca="1"/>
        <v>#NAME?</v>
      </c>
      <c r="AV34" s="108" t="e">
        <f ca="1"/>
        <v>#NAME?</v>
      </c>
      <c r="AX34" t="s">
        <v>151</v>
      </c>
      <c r="AY34" s="78" t="e">
        <f ca="1">AVERAGE(AR33:AV37)</f>
        <v>#NAME?</v>
      </c>
      <c r="BA34" t="s">
        <v>156</v>
      </c>
      <c r="BB34" s="78" t="e">
        <f ca="1">AY39</f>
        <v>#NAME?</v>
      </c>
      <c r="CC34" s="16" t="s">
        <v>104</v>
      </c>
      <c r="CD34" s="16">
        <v>16723.673469387752</v>
      </c>
      <c r="CE34" s="16">
        <v>18</v>
      </c>
      <c r="CF34" s="16">
        <v>929.0929705215417</v>
      </c>
      <c r="CG34" s="16"/>
      <c r="CH34" s="16"/>
      <c r="CI34" s="16"/>
    </row>
    <row r="35" spans="17:87" x14ac:dyDescent="0.25">
      <c r="R35" s="12" t="s">
        <v>75</v>
      </c>
      <c r="S35" s="12" t="s">
        <v>76</v>
      </c>
      <c r="T35" s="12" t="s">
        <v>37</v>
      </c>
      <c r="U35" s="12" t="s">
        <v>78</v>
      </c>
      <c r="AI35" s="16" t="s">
        <v>123</v>
      </c>
      <c r="AJ35" s="16">
        <f>AJ8</f>
        <v>220968.45714285711</v>
      </c>
      <c r="AK35" s="16" t="e">
        <f ca="1">AK8*AY53</f>
        <v>#NAME?</v>
      </c>
      <c r="AL35" s="16" t="e">
        <f ca="1">AJ35/AK35</f>
        <v>#NAME?</v>
      </c>
      <c r="AM35" s="16" t="e">
        <f ca="1">AL35/AL36</f>
        <v>#NAME?</v>
      </c>
      <c r="AN35" s="16" t="e">
        <f ca="1">F_DIST_RT(AM35,AK35,AK36)</f>
        <v>#NAME?</v>
      </c>
      <c r="AO35" s="16" t="e">
        <f ca="1">F_INV_RT(0.05,AK35,AK36)</f>
        <v>#NAME?</v>
      </c>
      <c r="AR35" s="107" t="e">
        <f ca="1"/>
        <v>#NAME?</v>
      </c>
      <c r="AS35" s="7" t="e">
        <f ca="1"/>
        <v>#NAME?</v>
      </c>
      <c r="AT35" s="7" t="e">
        <f ca="1"/>
        <v>#NAME?</v>
      </c>
      <c r="AU35" s="7" t="e">
        <f ca="1"/>
        <v>#NAME?</v>
      </c>
      <c r="AV35" s="108" t="e">
        <f ca="1"/>
        <v>#NAME?</v>
      </c>
      <c r="AX35" t="s">
        <v>152</v>
      </c>
      <c r="AY35" s="78" t="e">
        <f ca="1">SUMSQ(AR33:AV37)</f>
        <v>#NAME?</v>
      </c>
      <c r="BA35" t="s">
        <v>157</v>
      </c>
      <c r="BB35" s="78" t="e">
        <f ca="1">BB32*(BB33-1)*BB34-2</f>
        <v>#NAME?</v>
      </c>
      <c r="CC35" s="16"/>
      <c r="CD35" s="16"/>
      <c r="CE35" s="16"/>
      <c r="CF35" s="16"/>
      <c r="CG35" s="16"/>
      <c r="CH35" s="16"/>
      <c r="CI35" s="16"/>
    </row>
    <row r="36" spans="17:87" ht="15.75" thickBot="1" x14ac:dyDescent="0.3">
      <c r="Q36" s="34" t="s">
        <v>282</v>
      </c>
      <c r="R36" s="102">
        <f>L5</f>
        <v>7</v>
      </c>
      <c r="S36" s="103">
        <f>DEVSQ(J9:J11)*R36</f>
        <v>64383.523809523816</v>
      </c>
      <c r="T36" s="103">
        <f>J5-1</f>
        <v>2</v>
      </c>
      <c r="U36" s="104">
        <f>S36/T36</f>
        <v>32191.761904761908</v>
      </c>
      <c r="AI36" s="137" t="s">
        <v>122</v>
      </c>
      <c r="AJ36" s="137">
        <f>AJ9</f>
        <v>39515.542857142922</v>
      </c>
      <c r="AK36" s="137" t="e">
        <f ca="1">AK9*AY53</f>
        <v>#NAME?</v>
      </c>
      <c r="AL36" s="137" t="e">
        <f ca="1">AJ36/AK36</f>
        <v>#NAME?</v>
      </c>
      <c r="AM36" s="137"/>
      <c r="AN36" s="137"/>
      <c r="AO36" s="137"/>
      <c r="AR36" s="107" t="e">
        <f ca="1"/>
        <v>#NAME?</v>
      </c>
      <c r="AS36" s="7" t="e">
        <f ca="1"/>
        <v>#NAME?</v>
      </c>
      <c r="AT36" s="7" t="e">
        <f ca="1"/>
        <v>#NAME?</v>
      </c>
      <c r="AU36" s="7" t="e">
        <f ca="1"/>
        <v>#NAME?</v>
      </c>
      <c r="AV36" s="108" t="e">
        <f ca="1"/>
        <v>#NAME?</v>
      </c>
      <c r="AX36" t="s">
        <v>153</v>
      </c>
      <c r="AY36" s="78" t="e">
        <f ca="1">SUMSQ(AR38:AV38)</f>
        <v>#NAME?</v>
      </c>
      <c r="BA36" t="s">
        <v>158</v>
      </c>
      <c r="BB36" s="78" t="e">
        <f ca="1">(BB33-1)*(BB32-1-(BB33-1)*BB34)</f>
        <v>#NAME?</v>
      </c>
      <c r="CC36" s="17" t="s">
        <v>1</v>
      </c>
      <c r="CD36" s="17">
        <v>17112.454810495619</v>
      </c>
      <c r="CE36" s="17">
        <v>20</v>
      </c>
      <c r="CF36" s="17"/>
      <c r="CG36" s="17"/>
      <c r="CH36" s="17"/>
      <c r="CI36" s="17"/>
    </row>
    <row r="37" spans="17:87" x14ac:dyDescent="0.25">
      <c r="Q37" s="34" t="s">
        <v>283</v>
      </c>
      <c r="R37" s="107">
        <f>L5</f>
        <v>7</v>
      </c>
      <c r="S37" s="7">
        <f>DEVSQ(N9:N11)*R37</f>
        <v>19678.952380952396</v>
      </c>
      <c r="T37" s="7">
        <f>J5-1</f>
        <v>2</v>
      </c>
      <c r="U37" s="108">
        <f>S37/T37</f>
        <v>9839.4761904761981</v>
      </c>
      <c r="AR37" s="52" t="e">
        <f ca="1"/>
        <v>#NAME?</v>
      </c>
      <c r="AS37" s="53" t="e">
        <f ca="1"/>
        <v>#NAME?</v>
      </c>
      <c r="AT37" s="53" t="e">
        <f ca="1"/>
        <v>#NAME?</v>
      </c>
      <c r="AU37" s="53" t="e">
        <f ca="1"/>
        <v>#NAME?</v>
      </c>
      <c r="AV37" s="56" t="e">
        <f ca="1"/>
        <v>#NAME?</v>
      </c>
      <c r="AX37" t="s">
        <v>154</v>
      </c>
      <c r="AY37" s="78" t="e">
        <f ca="1">(AY32*(AY33-AY34))^2</f>
        <v>#NAME?</v>
      </c>
      <c r="BA37" t="s">
        <v>159</v>
      </c>
      <c r="BB37" s="58" t="e">
        <f ca="1">MIN(BB35/BB36,1)</f>
        <v>#NAME?</v>
      </c>
    </row>
    <row r="38" spans="17:87" ht="15.75" thickBot="1" x14ac:dyDescent="0.3">
      <c r="Q38" s="23" t="s">
        <v>122</v>
      </c>
      <c r="R38" s="52"/>
      <c r="S38" s="53">
        <f>S5-S8</f>
        <v>354444.85714285681</v>
      </c>
      <c r="T38" s="53">
        <f>T5-T8</f>
        <v>90</v>
      </c>
      <c r="U38" s="56">
        <f>S38/T38</f>
        <v>3938.2761904761869</v>
      </c>
      <c r="AI38" t="s">
        <v>333</v>
      </c>
      <c r="AQ38" t="s">
        <v>6</v>
      </c>
      <c r="AR38" t="e">
        <f ca="1">AVERAGE(AR33:AR37)</f>
        <v>#NAME?</v>
      </c>
      <c r="AS38" t="e">
        <f ca="1">AVERAGE(AS33:AS37)</f>
        <v>#NAME?</v>
      </c>
      <c r="AT38" t="e">
        <f ca="1">AVERAGE(AT33:AT37)</f>
        <v>#NAME?</v>
      </c>
      <c r="AU38" t="e">
        <f ca="1">AVERAGE(AU33:AU37)</f>
        <v>#NAME?</v>
      </c>
      <c r="AV38" t="e">
        <f ca="1">AVERAGE(AV33:AV37)</f>
        <v>#NAME?</v>
      </c>
      <c r="AX38" t="s">
        <v>155</v>
      </c>
      <c r="AY38" s="78" t="e">
        <f ca="1">(AY32-1)*(AY35-2*AY32*AY36+AY32^2*AY34^2)</f>
        <v>#NAME?</v>
      </c>
    </row>
    <row r="39" spans="17:87" x14ac:dyDescent="0.25">
      <c r="AI39" s="87" t="s">
        <v>107</v>
      </c>
      <c r="AJ39" s="87" t="s">
        <v>76</v>
      </c>
      <c r="AK39" s="87" t="s">
        <v>37</v>
      </c>
      <c r="AL39" s="87" t="s">
        <v>78</v>
      </c>
      <c r="AM39" s="87" t="s">
        <v>68</v>
      </c>
      <c r="AN39" s="87" t="s">
        <v>62</v>
      </c>
      <c r="AO39" s="87" t="s">
        <v>108</v>
      </c>
      <c r="AQ39" t="s">
        <v>7</v>
      </c>
      <c r="AR39" t="e">
        <f ca="1">INDEX(AR33:AR37,AR32)</f>
        <v>#NAME?</v>
      </c>
      <c r="AS39" t="e">
        <f ca="1">INDEX(AS33:AS37,AS32)</f>
        <v>#NAME?</v>
      </c>
      <c r="AT39" t="e">
        <f ca="1">INDEX(AT33:AT37,AT32)</f>
        <v>#NAME?</v>
      </c>
      <c r="AU39" t="e">
        <f ca="1">INDEX(AU33:AU37,AU32)</f>
        <v>#NAME?</v>
      </c>
      <c r="AV39" t="e">
        <f ca="1">INDEX(AV33:AV37,AV32)</f>
        <v>#NAME?</v>
      </c>
      <c r="AX39" t="s">
        <v>156</v>
      </c>
      <c r="AY39" s="42" t="e">
        <f ca="1">AY37/AY38</f>
        <v>#NAME?</v>
      </c>
      <c r="BA39" t="s">
        <v>203</v>
      </c>
      <c r="BB39" s="106">
        <f>1/(BB33-1)</f>
        <v>0.25</v>
      </c>
      <c r="BU39" t="s">
        <v>271</v>
      </c>
      <c r="CC39" t="s">
        <v>105</v>
      </c>
    </row>
    <row r="40" spans="17:87" ht="15.75" thickBot="1" x14ac:dyDescent="0.3">
      <c r="Q40" t="s">
        <v>84</v>
      </c>
      <c r="AI40" s="16" t="s">
        <v>123</v>
      </c>
      <c r="AJ40" s="16">
        <f>AJ16</f>
        <v>412173.88571428566</v>
      </c>
      <c r="AK40" s="16" t="e">
        <f ca="1">AK16*AY54</f>
        <v>#NAME?</v>
      </c>
      <c r="AL40" s="16" t="e">
        <f ca="1">AJ40/AK40</f>
        <v>#NAME?</v>
      </c>
      <c r="AM40" s="16" t="e">
        <f ca="1">AL40/AL41</f>
        <v>#NAME?</v>
      </c>
      <c r="AN40" s="16" t="e">
        <f ca="1">F_DIST_RT(AM40,AK40,AK41)</f>
        <v>#NAME?</v>
      </c>
      <c r="AO40" s="16" t="e">
        <f ca="1">F_INV_RT(0.05,AK40,AK41)</f>
        <v>#NAME?</v>
      </c>
    </row>
    <row r="41" spans="17:87" ht="15.75" thickBot="1" x14ac:dyDescent="0.3">
      <c r="Q41" s="84" t="s">
        <v>107</v>
      </c>
      <c r="R41" s="84" t="s">
        <v>76</v>
      </c>
      <c r="S41" s="84" t="s">
        <v>37</v>
      </c>
      <c r="T41" s="84" t="s">
        <v>78</v>
      </c>
      <c r="U41" s="84" t="s">
        <v>68</v>
      </c>
      <c r="V41" s="84" t="s">
        <v>62</v>
      </c>
      <c r="AI41" s="137" t="s">
        <v>122</v>
      </c>
      <c r="AJ41" s="137">
        <f>AJ17</f>
        <v>78908.914285714331</v>
      </c>
      <c r="AK41" s="137" t="e">
        <f ca="1">AK17*AY54</f>
        <v>#NAME?</v>
      </c>
      <c r="AL41" s="137" t="e">
        <f ca="1">AJ41/AK41</f>
        <v>#NAME?</v>
      </c>
      <c r="AM41" s="137"/>
      <c r="AN41" s="137"/>
      <c r="AO41" s="137"/>
      <c r="AR41">
        <v>1</v>
      </c>
      <c r="AS41">
        <f>AR41+1</f>
        <v>2</v>
      </c>
      <c r="AT41">
        <f>AS41+1</f>
        <v>3</v>
      </c>
      <c r="AU41">
        <f>AT41+1</f>
        <v>4</v>
      </c>
      <c r="AV41">
        <f>AU41+1</f>
        <v>5</v>
      </c>
      <c r="AX41" t="s">
        <v>149</v>
      </c>
      <c r="AY41" s="95">
        <f>$K$5</f>
        <v>5</v>
      </c>
      <c r="BA41" t="s">
        <v>148</v>
      </c>
      <c r="BB41" s="105">
        <f>$L$5</f>
        <v>7</v>
      </c>
      <c r="BU41" s="86" t="s">
        <v>267</v>
      </c>
      <c r="BV41" s="86" t="s">
        <v>268</v>
      </c>
      <c r="BW41" s="86" t="s">
        <v>45</v>
      </c>
      <c r="BX41" s="44"/>
      <c r="BY41" s="86" t="s">
        <v>267</v>
      </c>
      <c r="BZ41" s="86" t="s">
        <v>268</v>
      </c>
      <c r="CA41" s="86" t="s">
        <v>45</v>
      </c>
      <c r="CC41" t="s">
        <v>39</v>
      </c>
    </row>
    <row r="42" spans="17:87" x14ac:dyDescent="0.25">
      <c r="Q42" s="34" t="s">
        <v>282</v>
      </c>
      <c r="R42">
        <f t="shared" ref="R42:S44" si="25">S36</f>
        <v>64383.523809523816</v>
      </c>
      <c r="S42">
        <f t="shared" si="25"/>
        <v>2</v>
      </c>
      <c r="T42">
        <f>R42/S42</f>
        <v>32191.761904761908</v>
      </c>
      <c r="U42">
        <f>T42/T44</f>
        <v>8.1740742263354367</v>
      </c>
      <c r="V42">
        <f>FDIST(U42,S42,S44)</f>
        <v>5.4709901625173965E-4</v>
      </c>
      <c r="AQ42" t="s">
        <v>106</v>
      </c>
      <c r="AR42" s="102" t="e">
        <f t="shared" ref="AR42:AV46" ca="1" si="26">(AR15+AR24+AR33)/$J$5</f>
        <v>#NAME?</v>
      </c>
      <c r="AS42" s="103" t="e">
        <f t="shared" ca="1" si="26"/>
        <v>#NAME?</v>
      </c>
      <c r="AT42" s="103" t="e">
        <f t="shared" ca="1" si="26"/>
        <v>#NAME?</v>
      </c>
      <c r="AU42" s="103" t="e">
        <f t="shared" ca="1" si="26"/>
        <v>#NAME?</v>
      </c>
      <c r="AV42" s="104" t="e">
        <f t="shared" ca="1" si="26"/>
        <v>#NAME?</v>
      </c>
      <c r="AX42" t="s">
        <v>150</v>
      </c>
      <c r="AY42" s="78" t="e">
        <f ca="1">AVERAGE(AR48:AV48)</f>
        <v>#NAME?</v>
      </c>
      <c r="BA42" t="s">
        <v>284</v>
      </c>
      <c r="BB42" s="78">
        <f>AY41</f>
        <v>5</v>
      </c>
      <c r="BU42" s="61">
        <f t="shared" ref="BU42:BU48" si="27">D4</f>
        <v>442</v>
      </c>
      <c r="BV42" s="117">
        <f t="shared" ref="BV42:BV48" si="28">D12</f>
        <v>425</v>
      </c>
      <c r="BW42" s="118">
        <f t="shared" ref="BW42:BW48" si="29">D18</f>
        <v>365</v>
      </c>
      <c r="BX42" s="47"/>
      <c r="BY42" s="61">
        <f>ABS(BU42-BU$49)</f>
        <v>59.142857142857167</v>
      </c>
      <c r="BZ42" s="117">
        <f t="shared" ref="BZ42:CA48" si="30">ABS(BV42-BV$49)</f>
        <v>99.285714285714278</v>
      </c>
      <c r="CA42" s="118">
        <f t="shared" si="30"/>
        <v>4.5714285714285552</v>
      </c>
      <c r="CC42" s="87" t="s">
        <v>47</v>
      </c>
      <c r="CD42" s="87" t="s">
        <v>11</v>
      </c>
      <c r="CE42" s="87" t="s">
        <v>10</v>
      </c>
      <c r="CF42" s="87" t="s">
        <v>106</v>
      </c>
      <c r="CG42" s="87" t="s">
        <v>48</v>
      </c>
    </row>
    <row r="43" spans="17:87" ht="15.75" thickBot="1" x14ac:dyDescent="0.3">
      <c r="Q43" s="34" t="s">
        <v>283</v>
      </c>
      <c r="R43">
        <f t="shared" si="25"/>
        <v>19678.952380952396</v>
      </c>
      <c r="S43">
        <f t="shared" si="25"/>
        <v>2</v>
      </c>
      <c r="T43">
        <f>R43/S43</f>
        <v>9839.4761904761981</v>
      </c>
      <c r="U43" s="16">
        <f>T43/T44</f>
        <v>2.4984220797593379</v>
      </c>
      <c r="V43">
        <f>FDIST(U43,S43,S44)</f>
        <v>8.7902233898368043E-2</v>
      </c>
      <c r="AI43" t="s">
        <v>346</v>
      </c>
      <c r="AR43" s="107" t="e">
        <f t="shared" ca="1" si="26"/>
        <v>#NAME?</v>
      </c>
      <c r="AS43" s="7" t="e">
        <f t="shared" ca="1" si="26"/>
        <v>#NAME?</v>
      </c>
      <c r="AT43" s="7" t="e">
        <f t="shared" ca="1" si="26"/>
        <v>#NAME?</v>
      </c>
      <c r="AU43" s="7" t="e">
        <f t="shared" ca="1" si="26"/>
        <v>#NAME?</v>
      </c>
      <c r="AV43" s="108" t="e">
        <f t="shared" ca="1" si="26"/>
        <v>#NAME?</v>
      </c>
      <c r="AX43" t="s">
        <v>151</v>
      </c>
      <c r="AY43" s="78" t="e">
        <f ca="1">AVERAGE(AR42:AV46)</f>
        <v>#NAME?</v>
      </c>
      <c r="BA43" t="s">
        <v>285</v>
      </c>
      <c r="BB43" s="78">
        <f>J5</f>
        <v>3</v>
      </c>
      <c r="BU43" s="107">
        <f t="shared" si="27"/>
        <v>341</v>
      </c>
      <c r="BV43" s="7">
        <f t="shared" si="28"/>
        <v>378</v>
      </c>
      <c r="BW43" s="108">
        <f t="shared" si="29"/>
        <v>382</v>
      </c>
      <c r="BX43" s="47"/>
      <c r="BY43" s="107">
        <f t="shared" ref="BY43:BY48" si="31">ABS(BU43-BU$49)</f>
        <v>41.857142857142833</v>
      </c>
      <c r="BZ43" s="7">
        <f t="shared" si="30"/>
        <v>52.285714285714278</v>
      </c>
      <c r="CA43" s="108">
        <f t="shared" si="30"/>
        <v>12.428571428571445</v>
      </c>
      <c r="CC43" s="16" t="s">
        <v>267</v>
      </c>
      <c r="CD43" s="16">
        <v>7</v>
      </c>
      <c r="CE43" s="16">
        <v>335.4285714285715</v>
      </c>
      <c r="CF43" s="16">
        <v>47.918367346938787</v>
      </c>
      <c r="CG43" s="16">
        <v>1562.2779397473269</v>
      </c>
    </row>
    <row r="44" spans="17:87" x14ac:dyDescent="0.25">
      <c r="Q44" s="53" t="s">
        <v>122</v>
      </c>
      <c r="R44" s="53">
        <f t="shared" si="25"/>
        <v>354444.85714285681</v>
      </c>
      <c r="S44" s="53">
        <f t="shared" si="25"/>
        <v>90</v>
      </c>
      <c r="T44" s="53">
        <f>R44/S44</f>
        <v>3938.2761904761869</v>
      </c>
      <c r="U44" s="53"/>
      <c r="V44" s="53"/>
      <c r="AI44" s="87" t="s">
        <v>107</v>
      </c>
      <c r="AJ44" s="87" t="s">
        <v>76</v>
      </c>
      <c r="AK44" s="87" t="s">
        <v>37</v>
      </c>
      <c r="AL44" s="87" t="s">
        <v>78</v>
      </c>
      <c r="AM44" s="87" t="s">
        <v>68</v>
      </c>
      <c r="AN44" s="87" t="s">
        <v>62</v>
      </c>
      <c r="AO44" s="87" t="s">
        <v>108</v>
      </c>
      <c r="AR44" s="107" t="e">
        <f t="shared" ca="1" si="26"/>
        <v>#NAME?</v>
      </c>
      <c r="AS44" s="7" t="e">
        <f t="shared" ca="1" si="26"/>
        <v>#NAME?</v>
      </c>
      <c r="AT44" s="7" t="e">
        <f t="shared" ca="1" si="26"/>
        <v>#NAME?</v>
      </c>
      <c r="AU44" s="7" t="e">
        <f t="shared" ca="1" si="26"/>
        <v>#NAME?</v>
      </c>
      <c r="AV44" s="108" t="e">
        <f t="shared" ca="1" si="26"/>
        <v>#NAME?</v>
      </c>
      <c r="AX44" t="s">
        <v>152</v>
      </c>
      <c r="AY44" s="78" t="e">
        <f ca="1">SUMSQ(AR42:AV46)</f>
        <v>#NAME?</v>
      </c>
      <c r="BA44" t="s">
        <v>156</v>
      </c>
      <c r="BB44" s="78" t="e">
        <f ca="1">AY48</f>
        <v>#NAME?</v>
      </c>
      <c r="BU44" s="107">
        <f t="shared" si="27"/>
        <v>384</v>
      </c>
      <c r="BV44" s="7">
        <f t="shared" si="28"/>
        <v>283</v>
      </c>
      <c r="BW44" s="108">
        <f t="shared" si="29"/>
        <v>289</v>
      </c>
      <c r="BX44" s="47"/>
      <c r="BY44" s="107">
        <f t="shared" si="31"/>
        <v>1.1428571428571672</v>
      </c>
      <c r="BZ44" s="7">
        <f t="shared" si="30"/>
        <v>42.714285714285722</v>
      </c>
      <c r="CA44" s="108">
        <f t="shared" si="30"/>
        <v>80.571428571428555</v>
      </c>
      <c r="CC44" s="16" t="s">
        <v>268</v>
      </c>
      <c r="CD44" s="16">
        <v>7</v>
      </c>
      <c r="CE44" s="16">
        <v>432.28571428571428</v>
      </c>
      <c r="CF44" s="16">
        <v>61.755102040816325</v>
      </c>
      <c r="CG44" s="16">
        <v>1528.930029154518</v>
      </c>
    </row>
    <row r="45" spans="17:87" ht="15.75" thickBot="1" x14ac:dyDescent="0.3">
      <c r="AI45" s="16" t="s">
        <v>123</v>
      </c>
      <c r="AJ45" s="16">
        <f>AJ24</f>
        <v>431398.11428571434</v>
      </c>
      <c r="AK45" s="16" t="e">
        <f ca="1">AK23*AZ55</f>
        <v>#NAME?</v>
      </c>
      <c r="AL45" s="16" t="e">
        <f ca="1">AJ45/AK45</f>
        <v>#NAME?</v>
      </c>
      <c r="AM45" s="16" t="e">
        <f ca="1">AL45/AL46</f>
        <v>#NAME?</v>
      </c>
      <c r="AN45" s="16" t="e">
        <f ca="1">F_DIST_RT(AM45,AK45,AK46)</f>
        <v>#NAME?</v>
      </c>
      <c r="AO45" s="16" t="e">
        <f ca="1">F_INV_RT(0.05,AK45,AK46)</f>
        <v>#NAME?</v>
      </c>
      <c r="AR45" s="107" t="e">
        <f t="shared" ca="1" si="26"/>
        <v>#NAME?</v>
      </c>
      <c r="AS45" s="7" t="e">
        <f t="shared" ca="1" si="26"/>
        <v>#NAME?</v>
      </c>
      <c r="AT45" s="7" t="e">
        <f t="shared" ca="1" si="26"/>
        <v>#NAME?</v>
      </c>
      <c r="AU45" s="7" t="e">
        <f t="shared" ca="1" si="26"/>
        <v>#NAME?</v>
      </c>
      <c r="AV45" s="108" t="e">
        <f t="shared" ca="1" si="26"/>
        <v>#NAME?</v>
      </c>
      <c r="AX45" t="s">
        <v>153</v>
      </c>
      <c r="AY45" s="78" t="e">
        <f ca="1">SUMSQ(AR47:AV47)</f>
        <v>#NAME?</v>
      </c>
      <c r="BA45" t="s">
        <v>157</v>
      </c>
      <c r="BB45" s="78" t="e">
        <f ca="1">(BB43*BB41-BB43+1)*(BB42-1)*BB44-2</f>
        <v>#NAME?</v>
      </c>
      <c r="BU45" s="107">
        <f t="shared" si="27"/>
        <v>423</v>
      </c>
      <c r="BV45" s="7">
        <f t="shared" si="28"/>
        <v>351</v>
      </c>
      <c r="BW45" s="108">
        <f t="shared" si="29"/>
        <v>356</v>
      </c>
      <c r="BX45" s="47"/>
      <c r="BY45" s="107">
        <f t="shared" si="31"/>
        <v>40.142857142857167</v>
      </c>
      <c r="BZ45" s="7">
        <f t="shared" si="30"/>
        <v>25.285714285714278</v>
      </c>
      <c r="CA45" s="108">
        <f t="shared" si="30"/>
        <v>13.571428571428555</v>
      </c>
      <c r="CC45" s="17" t="s">
        <v>45</v>
      </c>
      <c r="CD45" s="17">
        <v>7</v>
      </c>
      <c r="CE45" s="17">
        <v>302.57142857142856</v>
      </c>
      <c r="CF45" s="17">
        <v>43.224489795918366</v>
      </c>
      <c r="CG45" s="17">
        <v>1370.8697764820211</v>
      </c>
    </row>
    <row r="46" spans="17:87" x14ac:dyDescent="0.25">
      <c r="Q46" t="s">
        <v>347</v>
      </c>
      <c r="AI46" s="137" t="s">
        <v>122</v>
      </c>
      <c r="AJ46" s="137">
        <f>AJ25</f>
        <v>42650.685714285704</v>
      </c>
      <c r="AK46" s="137" t="e">
        <f ca="1">AK24*AZ55</f>
        <v>#NAME?</v>
      </c>
      <c r="AL46" s="137" t="e">
        <f ca="1">AJ46/AK46</f>
        <v>#NAME?</v>
      </c>
      <c r="AM46" s="137"/>
      <c r="AN46" s="137"/>
      <c r="AO46" s="137"/>
      <c r="AR46" s="52" t="e">
        <f t="shared" ca="1" si="26"/>
        <v>#NAME?</v>
      </c>
      <c r="AS46" s="53" t="e">
        <f t="shared" ca="1" si="26"/>
        <v>#NAME?</v>
      </c>
      <c r="AT46" s="53" t="e">
        <f t="shared" ca="1" si="26"/>
        <v>#NAME?</v>
      </c>
      <c r="AU46" s="53" t="e">
        <f t="shared" ca="1" si="26"/>
        <v>#NAME?</v>
      </c>
      <c r="AV46" s="56" t="e">
        <f t="shared" ca="1" si="26"/>
        <v>#NAME?</v>
      </c>
      <c r="AX46" t="s">
        <v>154</v>
      </c>
      <c r="AY46" s="78" t="e">
        <f ca="1">(AY41*(AY42-AY43))^2</f>
        <v>#NAME?</v>
      </c>
      <c r="BA46" t="s">
        <v>158</v>
      </c>
      <c r="BB46" s="78" t="e">
        <f ca="1">(BB42-1)*(BB41*BB43-BB43-(BB42-1)*BB44)</f>
        <v>#NAME?</v>
      </c>
      <c r="BU46" s="107">
        <f t="shared" si="27"/>
        <v>257</v>
      </c>
      <c r="BV46" s="7">
        <f t="shared" si="28"/>
        <v>193</v>
      </c>
      <c r="BW46" s="108">
        <f t="shared" si="29"/>
        <v>407</v>
      </c>
      <c r="BX46" s="47"/>
      <c r="BY46" s="107">
        <f t="shared" si="31"/>
        <v>125.85714285714283</v>
      </c>
      <c r="BZ46" s="7">
        <f t="shared" si="30"/>
        <v>132.71428571428572</v>
      </c>
      <c r="CA46" s="108">
        <f t="shared" si="30"/>
        <v>37.428571428571445</v>
      </c>
    </row>
    <row r="47" spans="17:87" x14ac:dyDescent="0.25">
      <c r="AQ47" t="s">
        <v>6</v>
      </c>
      <c r="AR47" t="e">
        <f ca="1">AVERAGE(AR42:AR46)</f>
        <v>#NAME?</v>
      </c>
      <c r="AS47" t="e">
        <f ca="1">AVERAGE(AS42:AS46)</f>
        <v>#NAME?</v>
      </c>
      <c r="AT47" t="e">
        <f ca="1">AVERAGE(AT42:AT46)</f>
        <v>#NAME?</v>
      </c>
      <c r="AU47" t="e">
        <f ca="1">AVERAGE(AU42:AU46)</f>
        <v>#NAME?</v>
      </c>
      <c r="AV47" t="e">
        <f ca="1">AVERAGE(AV42:AV46)</f>
        <v>#NAME?</v>
      </c>
      <c r="AX47" t="s">
        <v>155</v>
      </c>
      <c r="AY47" s="78" t="e">
        <f ca="1">(AY41-1)*(AY44-2*AY41*AY45+AY41^2*AY43^2)</f>
        <v>#NAME?</v>
      </c>
      <c r="BA47" t="s">
        <v>159</v>
      </c>
      <c r="BB47" s="58" t="e">
        <f ca="1">MIN(BB45/BB46,1)</f>
        <v>#NAME?</v>
      </c>
      <c r="BU47" s="107">
        <f t="shared" si="27"/>
        <v>401</v>
      </c>
      <c r="BV47" s="7">
        <f t="shared" si="28"/>
        <v>285</v>
      </c>
      <c r="BW47" s="108">
        <f t="shared" si="29"/>
        <v>471</v>
      </c>
      <c r="BX47" s="47"/>
      <c r="BY47" s="107">
        <f t="shared" si="31"/>
        <v>18.142857142857167</v>
      </c>
      <c r="BZ47" s="7">
        <f t="shared" si="30"/>
        <v>40.714285714285722</v>
      </c>
      <c r="CA47" s="108">
        <f t="shared" si="30"/>
        <v>101.42857142857144</v>
      </c>
    </row>
    <row r="48" spans="17:87" ht="15.75" thickBot="1" x14ac:dyDescent="0.3">
      <c r="R48" s="151" t="s">
        <v>76</v>
      </c>
      <c r="S48" s="151" t="s">
        <v>37</v>
      </c>
      <c r="AQ48" t="s">
        <v>7</v>
      </c>
      <c r="AR48" t="e">
        <f ca="1">INDEX(AR42:AR46,AR41)</f>
        <v>#NAME?</v>
      </c>
      <c r="AS48" t="e">
        <f ca="1">INDEX(AS42:AS46,AS41)</f>
        <v>#NAME?</v>
      </c>
      <c r="AT48" t="e">
        <f ca="1">INDEX(AT42:AT46,AT41)</f>
        <v>#NAME?</v>
      </c>
      <c r="AU48" t="e">
        <f ca="1">INDEX(AU42:AU46,AU41)</f>
        <v>#NAME?</v>
      </c>
      <c r="AV48" t="e">
        <f ca="1">INDEX(AV42:AV46,AV41)</f>
        <v>#NAME?</v>
      </c>
      <c r="AX48" t="s">
        <v>156</v>
      </c>
      <c r="AY48" s="42" t="e">
        <f ca="1">AY46/AY47</f>
        <v>#NAME?</v>
      </c>
      <c r="BU48" s="52">
        <f t="shared" si="27"/>
        <v>432</v>
      </c>
      <c r="BV48" s="53">
        <f t="shared" si="28"/>
        <v>365</v>
      </c>
      <c r="BW48" s="56">
        <f t="shared" si="29"/>
        <v>317</v>
      </c>
      <c r="BX48" s="47"/>
      <c r="BY48" s="52">
        <f t="shared" si="31"/>
        <v>49.142857142857167</v>
      </c>
      <c r="BZ48" s="53">
        <f t="shared" si="30"/>
        <v>39.285714285714278</v>
      </c>
      <c r="CA48" s="56">
        <f t="shared" si="30"/>
        <v>52.571428571428555</v>
      </c>
      <c r="CC48" t="s">
        <v>84</v>
      </c>
    </row>
    <row r="49" spans="17:87" x14ac:dyDescent="0.25">
      <c r="R49" s="156">
        <f>S12+S13</f>
        <v>354444.85714285669</v>
      </c>
      <c r="S49" s="157">
        <f>T12+T13</f>
        <v>90</v>
      </c>
      <c r="BA49" t="s">
        <v>203</v>
      </c>
      <c r="BB49" s="106">
        <f>1/(BB42-1)</f>
        <v>0.25</v>
      </c>
      <c r="BT49" t="s">
        <v>6</v>
      </c>
      <c r="BU49" s="23">
        <f>AVERAGE(BU42:BU48)</f>
        <v>382.85714285714283</v>
      </c>
      <c r="BV49" s="23">
        <f>AVERAGE(BV42:BV48)</f>
        <v>325.71428571428572</v>
      </c>
      <c r="BW49" s="23">
        <f>AVERAGE(BW42:BW48)</f>
        <v>369.57142857142856</v>
      </c>
      <c r="BX49" s="136"/>
      <c r="BY49" s="136"/>
      <c r="BZ49" s="136"/>
      <c r="CA49" s="136"/>
      <c r="CC49" s="87" t="s">
        <v>107</v>
      </c>
      <c r="CD49" s="87" t="s">
        <v>76</v>
      </c>
      <c r="CE49" s="87" t="s">
        <v>37</v>
      </c>
      <c r="CF49" s="87" t="s">
        <v>78</v>
      </c>
      <c r="CG49" s="87" t="s">
        <v>68</v>
      </c>
      <c r="CH49" s="87" t="s">
        <v>62</v>
      </c>
      <c r="CI49" s="87" t="s">
        <v>108</v>
      </c>
    </row>
    <row r="50" spans="17:87" x14ac:dyDescent="0.25">
      <c r="BT50" t="s">
        <v>7</v>
      </c>
      <c r="BU50" s="23">
        <f>VAR(BU42:BU49)</f>
        <v>3635.2653061224678</v>
      </c>
      <c r="BV50" s="23">
        <f>VAR(BV42:BV48)</f>
        <v>5978.2380952380872</v>
      </c>
      <c r="BW50" s="23">
        <f>VAR(BW42:BW48)</f>
        <v>3550.6190476190532</v>
      </c>
      <c r="CC50" s="16" t="s">
        <v>103</v>
      </c>
      <c r="CD50" s="16">
        <v>1299.3663751214772</v>
      </c>
      <c r="CE50" s="16">
        <v>2</v>
      </c>
      <c r="CF50" s="16">
        <v>649.68318756073859</v>
      </c>
      <c r="CG50" s="16">
        <v>0.43680313833584755</v>
      </c>
      <c r="CH50" s="16">
        <v>0.65276750542828776</v>
      </c>
      <c r="CI50" s="16">
        <v>3.5545571456617879</v>
      </c>
    </row>
    <row r="51" spans="17:87" x14ac:dyDescent="0.25">
      <c r="AQ51" t="s">
        <v>50</v>
      </c>
      <c r="AR51" s="102" t="e">
        <f t="array" ref="AR51:AV55" ca="1">(AR15:AV19+AR24:AV28+AR33:AV37)*(CL7-1)/(CL8-CL5)</f>
        <v>#NAME?</v>
      </c>
      <c r="AS51" s="103" t="e">
        <f ca="1"/>
        <v>#NAME?</v>
      </c>
      <c r="AT51" s="103" t="e">
        <f ca="1"/>
        <v>#NAME?</v>
      </c>
      <c r="AU51" s="103" t="e">
        <f ca="1"/>
        <v>#NAME?</v>
      </c>
      <c r="AV51" s="104" t="e">
        <f ca="1"/>
        <v>#NAME?</v>
      </c>
      <c r="AX51" t="s">
        <v>266</v>
      </c>
      <c r="CC51" s="16" t="s">
        <v>104</v>
      </c>
      <c r="CD51" s="16">
        <v>26772.4664723032</v>
      </c>
      <c r="CE51" s="16">
        <v>18</v>
      </c>
      <c r="CF51" s="16">
        <v>1487.3592484612889</v>
      </c>
      <c r="CG51" s="16"/>
      <c r="CH51" s="16"/>
      <c r="CI51" s="16"/>
    </row>
    <row r="52" spans="17:87" x14ac:dyDescent="0.25">
      <c r="Q52" t="s">
        <v>427</v>
      </c>
      <c r="AR52" s="107" t="e">
        <f ca="1"/>
        <v>#NAME?</v>
      </c>
      <c r="AS52" s="7" t="e">
        <f ca="1"/>
        <v>#NAME?</v>
      </c>
      <c r="AT52" s="7" t="e">
        <f ca="1"/>
        <v>#NAME?</v>
      </c>
      <c r="AU52" s="7" t="e">
        <f ca="1"/>
        <v>#NAME?</v>
      </c>
      <c r="AV52" s="108" t="e">
        <f ca="1"/>
        <v>#NAME?</v>
      </c>
      <c r="AY52" s="12" t="s">
        <v>242</v>
      </c>
      <c r="AZ52" s="12" t="s">
        <v>244</v>
      </c>
      <c r="CC52" s="16"/>
      <c r="CD52" s="16"/>
      <c r="CE52" s="16"/>
      <c r="CF52" s="16"/>
      <c r="CG52" s="16"/>
      <c r="CH52" s="16"/>
      <c r="CI52" s="16"/>
    </row>
    <row r="53" spans="17:87" ht="15.75" thickBot="1" x14ac:dyDescent="0.3">
      <c r="AR53" s="107" t="e">
        <f ca="1"/>
        <v>#NAME?</v>
      </c>
      <c r="AS53" s="7" t="e">
        <f ca="1"/>
        <v>#NAME?</v>
      </c>
      <c r="AT53" s="7" t="e">
        <f ca="1"/>
        <v>#NAME?</v>
      </c>
      <c r="AU53" s="7" t="e">
        <f ca="1"/>
        <v>#NAME?</v>
      </c>
      <c r="AV53" s="108" t="e">
        <f ca="1"/>
        <v>#NAME?</v>
      </c>
      <c r="AX53" t="s">
        <v>267</v>
      </c>
      <c r="AY53" s="102" t="e">
        <f ca="1">AY21</f>
        <v>#NAME?</v>
      </c>
      <c r="AZ53" s="104" t="e">
        <f ca="1">BB19</f>
        <v>#NAME?</v>
      </c>
      <c r="CC53" s="17" t="s">
        <v>1</v>
      </c>
      <c r="CD53" s="17">
        <v>28071.832847424677</v>
      </c>
      <c r="CE53" s="17">
        <v>20</v>
      </c>
      <c r="CF53" s="17"/>
      <c r="CG53" s="17"/>
      <c r="CH53" s="17"/>
      <c r="CI53" s="17"/>
    </row>
    <row r="54" spans="17:87" ht="15.75" thickBot="1" x14ac:dyDescent="0.3">
      <c r="Q54" t="s">
        <v>84</v>
      </c>
      <c r="AR54" s="107" t="e">
        <f ca="1"/>
        <v>#NAME?</v>
      </c>
      <c r="AS54" s="7" t="e">
        <f ca="1"/>
        <v>#NAME?</v>
      </c>
      <c r="AT54" s="7" t="e">
        <f ca="1"/>
        <v>#NAME?</v>
      </c>
      <c r="AU54" s="7" t="e">
        <f ca="1"/>
        <v>#NAME?</v>
      </c>
      <c r="AV54" s="108" t="e">
        <f ca="1"/>
        <v>#NAME?</v>
      </c>
      <c r="AX54" t="s">
        <v>268</v>
      </c>
      <c r="AY54" s="107" t="e">
        <f ca="1">AY30</f>
        <v>#NAME?</v>
      </c>
      <c r="AZ54" s="108" t="e">
        <f ca="1">BB28</f>
        <v>#NAME?</v>
      </c>
    </row>
    <row r="55" spans="17:87" x14ac:dyDescent="0.25">
      <c r="Q55" s="84" t="s">
        <v>107</v>
      </c>
      <c r="R55" s="84" t="s">
        <v>76</v>
      </c>
      <c r="S55" s="84" t="s">
        <v>37</v>
      </c>
      <c r="T55" s="84" t="s">
        <v>78</v>
      </c>
      <c r="U55" s="84" t="s">
        <v>68</v>
      </c>
      <c r="V55" s="84" t="s">
        <v>62</v>
      </c>
      <c r="AR55" s="52" t="e">
        <f ca="1"/>
        <v>#NAME?</v>
      </c>
      <c r="AS55" s="53" t="e">
        <f ca="1"/>
        <v>#NAME?</v>
      </c>
      <c r="AT55" s="53" t="e">
        <f ca="1"/>
        <v>#NAME?</v>
      </c>
      <c r="AU55" s="53" t="e">
        <f ca="1"/>
        <v>#NAME?</v>
      </c>
      <c r="AV55" s="56" t="e">
        <f ca="1"/>
        <v>#NAME?</v>
      </c>
      <c r="AX55" t="s">
        <v>45</v>
      </c>
      <c r="AY55" s="52" t="e">
        <f ca="1">AY39</f>
        <v>#NAME?</v>
      </c>
      <c r="AZ55" s="56" t="e">
        <f ca="1">BB37</f>
        <v>#NAME?</v>
      </c>
    </row>
    <row r="56" spans="17:87" x14ac:dyDescent="0.25">
      <c r="Q56" s="34" t="s">
        <v>282</v>
      </c>
      <c r="R56">
        <f t="shared" ref="R56:T57" si="32">R42</f>
        <v>64383.523809523816</v>
      </c>
      <c r="S56">
        <f t="shared" si="32"/>
        <v>2</v>
      </c>
      <c r="T56">
        <f t="shared" si="32"/>
        <v>32191.761904761908</v>
      </c>
      <c r="U56">
        <f>T56/T58</f>
        <v>4.6807738020301644</v>
      </c>
      <c r="V56" t="e">
        <f ca="1">F_DIST_RT(U56,S56,S58)</f>
        <v>#NAME?</v>
      </c>
      <c r="BU56" t="s">
        <v>272</v>
      </c>
      <c r="CC56" t="s">
        <v>105</v>
      </c>
    </row>
    <row r="57" spans="17:87" x14ac:dyDescent="0.25">
      <c r="Q57" s="34" t="s">
        <v>283</v>
      </c>
      <c r="R57">
        <f t="shared" si="32"/>
        <v>19678.952380952396</v>
      </c>
      <c r="S57">
        <f t="shared" si="32"/>
        <v>2</v>
      </c>
      <c r="T57">
        <f t="shared" si="32"/>
        <v>9839.4761904761981</v>
      </c>
      <c r="U57" s="16">
        <f>T57/T58</f>
        <v>1.4306878422602816</v>
      </c>
      <c r="V57" t="e">
        <f ca="1">F_DIST_RT(U57,S57,S58)</f>
        <v>#NAME?</v>
      </c>
    </row>
    <row r="58" spans="17:87" ht="15.75" thickBot="1" x14ac:dyDescent="0.3">
      <c r="Q58" s="53" t="str">
        <f>Q44</f>
        <v>Error</v>
      </c>
      <c r="R58" s="53">
        <f>S12+S13</f>
        <v>354444.85714285669</v>
      </c>
      <c r="S58" s="53">
        <f>R58^2/(S12^2/T12+S13^2/T13)</f>
        <v>51.537291015226842</v>
      </c>
      <c r="T58" s="53">
        <f>R58/S58</f>
        <v>6877.4444709974168</v>
      </c>
      <c r="U58" s="53"/>
      <c r="V58" s="53"/>
      <c r="BU58" s="86" t="s">
        <v>267</v>
      </c>
      <c r="BV58" s="86" t="s">
        <v>268</v>
      </c>
      <c r="BW58" s="86" t="s">
        <v>45</v>
      </c>
      <c r="BX58" s="44"/>
      <c r="BY58" s="86" t="s">
        <v>267</v>
      </c>
      <c r="BZ58" s="86" t="s">
        <v>268</v>
      </c>
      <c r="CA58" s="86" t="s">
        <v>45</v>
      </c>
      <c r="CC58" t="s">
        <v>39</v>
      </c>
    </row>
    <row r="59" spans="17:87" x14ac:dyDescent="0.25">
      <c r="BU59" s="61">
        <f t="shared" ref="BU59:BU65" si="33">E4</f>
        <v>368</v>
      </c>
      <c r="BV59" s="117">
        <f t="shared" ref="BV59:BV65" si="34">E12</f>
        <v>398</v>
      </c>
      <c r="BW59" s="118">
        <f t="shared" ref="BW59:BW65" si="35">E18</f>
        <v>311</v>
      </c>
      <c r="BX59" s="47"/>
      <c r="BY59" s="61">
        <f>ABS(BU59-BU$66)</f>
        <v>5.4285714285714448</v>
      </c>
      <c r="BZ59" s="117">
        <f>ABS(BV59-BV$66)</f>
        <v>109.28571428571428</v>
      </c>
      <c r="CA59" s="118">
        <f>ABS(BW59-BW$66)</f>
        <v>63.285714285714278</v>
      </c>
      <c r="CC59" s="87" t="s">
        <v>47</v>
      </c>
      <c r="CD59" s="87" t="s">
        <v>11</v>
      </c>
      <c r="CE59" s="87" t="s">
        <v>10</v>
      </c>
      <c r="CF59" s="87" t="s">
        <v>106</v>
      </c>
      <c r="CG59" s="87" t="s">
        <v>48</v>
      </c>
    </row>
    <row r="60" spans="17:87" x14ac:dyDescent="0.25">
      <c r="BU60" s="107">
        <f t="shared" si="33"/>
        <v>382</v>
      </c>
      <c r="BV60" s="7">
        <f t="shared" si="34"/>
        <v>317</v>
      </c>
      <c r="BW60" s="108">
        <f t="shared" si="35"/>
        <v>369</v>
      </c>
      <c r="BX60" s="47"/>
      <c r="BY60" s="107">
        <f t="shared" ref="BY60:BY65" si="36">ABS(BU60-BU$66)</f>
        <v>19.428571428571445</v>
      </c>
      <c r="BZ60" s="7">
        <f t="shared" ref="BZ60:BZ65" si="37">ABS(BV60-BV$66)</f>
        <v>28.285714285714278</v>
      </c>
      <c r="CA60" s="108">
        <f t="shared" ref="CA60:CA65" si="38">ABS(BW60-BW$66)</f>
        <v>5.2857142857142776</v>
      </c>
      <c r="CC60" s="16" t="s">
        <v>267</v>
      </c>
      <c r="CD60" s="16">
        <v>7</v>
      </c>
      <c r="CE60" s="16">
        <v>318.28571428571433</v>
      </c>
      <c r="CF60" s="16">
        <v>45.469387755102048</v>
      </c>
      <c r="CG60" s="16">
        <v>906.24295432458678</v>
      </c>
    </row>
    <row r="61" spans="17:87" x14ac:dyDescent="0.25">
      <c r="BU61" s="107">
        <f t="shared" si="33"/>
        <v>421</v>
      </c>
      <c r="BV61" s="7">
        <f t="shared" si="34"/>
        <v>259</v>
      </c>
      <c r="BW61" s="108">
        <f t="shared" si="35"/>
        <v>385</v>
      </c>
      <c r="BX61" s="47"/>
      <c r="BY61" s="107">
        <f t="shared" si="36"/>
        <v>58.428571428571445</v>
      </c>
      <c r="BZ61" s="7">
        <f t="shared" si="37"/>
        <v>29.714285714285722</v>
      </c>
      <c r="CA61" s="108">
        <f t="shared" si="38"/>
        <v>10.714285714285722</v>
      </c>
      <c r="CC61" s="16" t="s">
        <v>268</v>
      </c>
      <c r="CD61" s="16">
        <v>7</v>
      </c>
      <c r="CE61" s="16">
        <v>319.71428571428572</v>
      </c>
      <c r="CF61" s="16">
        <v>45.673469387755105</v>
      </c>
      <c r="CG61" s="16">
        <v>1209.4946550048592</v>
      </c>
    </row>
    <row r="62" spans="17:87" ht="15.75" thickBot="1" x14ac:dyDescent="0.3">
      <c r="BU62" s="107">
        <f t="shared" si="33"/>
        <v>415</v>
      </c>
      <c r="BV62" s="7">
        <f t="shared" si="34"/>
        <v>280</v>
      </c>
      <c r="BW62" s="108">
        <f t="shared" si="35"/>
        <v>380</v>
      </c>
      <c r="BX62" s="47"/>
      <c r="BY62" s="107">
        <f t="shared" si="36"/>
        <v>52.428571428571445</v>
      </c>
      <c r="BZ62" s="7">
        <f t="shared" si="37"/>
        <v>8.7142857142857224</v>
      </c>
      <c r="CA62" s="108">
        <f t="shared" si="38"/>
        <v>5.7142857142857224</v>
      </c>
      <c r="CC62" s="17" t="s">
        <v>45</v>
      </c>
      <c r="CD62" s="17">
        <v>7</v>
      </c>
      <c r="CE62" s="17">
        <v>271.71428571428572</v>
      </c>
      <c r="CF62" s="17">
        <v>38.816326530612244</v>
      </c>
      <c r="CG62" s="17">
        <v>1125.0796890184645</v>
      </c>
    </row>
    <row r="63" spans="17:87" x14ac:dyDescent="0.25">
      <c r="BU63" s="107">
        <f t="shared" si="33"/>
        <v>275</v>
      </c>
      <c r="BV63" s="7">
        <f t="shared" si="34"/>
        <v>240</v>
      </c>
      <c r="BW63" s="108">
        <f t="shared" si="35"/>
        <v>461</v>
      </c>
      <c r="BX63" s="47"/>
      <c r="BY63" s="107">
        <f t="shared" si="36"/>
        <v>87.571428571428555</v>
      </c>
      <c r="BZ63" s="7">
        <f t="shared" si="37"/>
        <v>48.714285714285722</v>
      </c>
      <c r="CA63" s="108">
        <f t="shared" si="38"/>
        <v>86.714285714285722</v>
      </c>
    </row>
    <row r="64" spans="17:87" x14ac:dyDescent="0.25">
      <c r="BU64" s="107">
        <f t="shared" si="33"/>
        <v>291</v>
      </c>
      <c r="BV64" s="7">
        <f t="shared" si="34"/>
        <v>216</v>
      </c>
      <c r="BW64" s="108">
        <f t="shared" si="35"/>
        <v>407</v>
      </c>
      <c r="BX64" s="47"/>
      <c r="BY64" s="107">
        <f t="shared" si="36"/>
        <v>71.571428571428555</v>
      </c>
      <c r="BZ64" s="7">
        <f t="shared" si="37"/>
        <v>72.714285714285722</v>
      </c>
      <c r="CA64" s="108">
        <f t="shared" si="38"/>
        <v>32.714285714285722</v>
      </c>
    </row>
    <row r="65" spans="72:87" ht="15.75" thickBot="1" x14ac:dyDescent="0.3">
      <c r="BU65" s="52">
        <f t="shared" si="33"/>
        <v>386</v>
      </c>
      <c r="BV65" s="53">
        <f t="shared" si="34"/>
        <v>311</v>
      </c>
      <c r="BW65" s="56">
        <f t="shared" si="35"/>
        <v>307</v>
      </c>
      <c r="BX65" s="47"/>
      <c r="BY65" s="52">
        <f t="shared" si="36"/>
        <v>23.428571428571445</v>
      </c>
      <c r="BZ65" s="53">
        <f t="shared" si="37"/>
        <v>22.285714285714278</v>
      </c>
      <c r="CA65" s="56">
        <f t="shared" si="38"/>
        <v>67.285714285714278</v>
      </c>
      <c r="CC65" t="s">
        <v>84</v>
      </c>
    </row>
    <row r="66" spans="72:87" x14ac:dyDescent="0.25">
      <c r="BT66" t="s">
        <v>6</v>
      </c>
      <c r="BU66" s="23">
        <f>AVERAGE(BU59:BU65)</f>
        <v>362.57142857142856</v>
      </c>
      <c r="BV66" s="23">
        <f>AVERAGE(BV59:BV65)</f>
        <v>288.71428571428572</v>
      </c>
      <c r="BW66" s="23">
        <f>AVERAGE(BW59:BW65)</f>
        <v>374.28571428571428</v>
      </c>
      <c r="BX66" s="136"/>
      <c r="BY66" s="136"/>
      <c r="BZ66" s="136"/>
      <c r="CA66" s="136"/>
      <c r="CC66" s="87" t="s">
        <v>107</v>
      </c>
      <c r="CD66" s="87" t="s">
        <v>76</v>
      </c>
      <c r="CE66" s="87" t="s">
        <v>37</v>
      </c>
      <c r="CF66" s="87" t="s">
        <v>78</v>
      </c>
      <c r="CG66" s="87" t="s">
        <v>68</v>
      </c>
      <c r="CH66" s="87" t="s">
        <v>62</v>
      </c>
      <c r="CI66" s="87" t="s">
        <v>108</v>
      </c>
    </row>
    <row r="67" spans="72:87" x14ac:dyDescent="0.25">
      <c r="BT67" t="s">
        <v>7</v>
      </c>
      <c r="BU67" s="23">
        <f>VAR(BU59:BU66)</f>
        <v>2844.2448979592218</v>
      </c>
      <c r="BV67" s="23">
        <f>VAR(BV59:BV65)</f>
        <v>3643.2380952380868</v>
      </c>
      <c r="BW67" s="23">
        <f>VAR(BW59:BW65)</f>
        <v>2882.9047619047537</v>
      </c>
      <c r="CC67" s="16" t="s">
        <v>103</v>
      </c>
      <c r="CD67" s="16">
        <v>213.09232264334059</v>
      </c>
      <c r="CE67" s="16">
        <v>2</v>
      </c>
      <c r="CF67" s="16">
        <v>106.5461613216703</v>
      </c>
      <c r="CG67" s="16">
        <v>9.8628973662895122E-2</v>
      </c>
      <c r="CH67" s="16">
        <v>0.90656507578072709</v>
      </c>
      <c r="CI67" s="16">
        <v>3.5545571456617879</v>
      </c>
    </row>
    <row r="68" spans="72:87" x14ac:dyDescent="0.25">
      <c r="CC68" s="16" t="s">
        <v>104</v>
      </c>
      <c r="CD68" s="16">
        <v>19444.903790087457</v>
      </c>
      <c r="CE68" s="16">
        <v>18</v>
      </c>
      <c r="CF68" s="16">
        <v>1080.2724327826365</v>
      </c>
      <c r="CG68" s="16"/>
      <c r="CH68" s="16"/>
      <c r="CI68" s="16"/>
    </row>
    <row r="69" spans="72:87" x14ac:dyDescent="0.25">
      <c r="CC69" s="16"/>
      <c r="CD69" s="16"/>
      <c r="CE69" s="16"/>
      <c r="CF69" s="16"/>
      <c r="CG69" s="16"/>
      <c r="CH69" s="16"/>
      <c r="CI69" s="16"/>
    </row>
    <row r="70" spans="72:87" ht="15.75" thickBot="1" x14ac:dyDescent="0.3">
      <c r="CC70" s="17" t="s">
        <v>1</v>
      </c>
      <c r="CD70" s="17">
        <v>19657.996112730798</v>
      </c>
      <c r="CE70" s="17">
        <v>20</v>
      </c>
      <c r="CF70" s="17"/>
      <c r="CG70" s="17"/>
      <c r="CH70" s="17"/>
      <c r="CI70" s="17"/>
    </row>
    <row r="73" spans="72:87" x14ac:dyDescent="0.25">
      <c r="BU73" t="s">
        <v>273</v>
      </c>
      <c r="CC73" t="s">
        <v>105</v>
      </c>
    </row>
    <row r="75" spans="72:87" ht="15.75" thickBot="1" x14ac:dyDescent="0.3">
      <c r="BU75" s="86" t="s">
        <v>267</v>
      </c>
      <c r="BV75" s="86" t="s">
        <v>268</v>
      </c>
      <c r="BW75" s="86" t="s">
        <v>45</v>
      </c>
      <c r="BX75" s="44"/>
      <c r="BY75" s="86" t="s">
        <v>267</v>
      </c>
      <c r="BZ75" s="86" t="s">
        <v>268</v>
      </c>
      <c r="CA75" s="86" t="s">
        <v>45</v>
      </c>
      <c r="CC75" t="s">
        <v>39</v>
      </c>
    </row>
    <row r="76" spans="72:87" x14ac:dyDescent="0.25">
      <c r="BU76" s="61">
        <f t="shared" ref="BU76:BU82" si="39">F4</f>
        <v>456</v>
      </c>
      <c r="BV76" s="117">
        <f t="shared" ref="BV76:BV82" si="40">F12</f>
        <v>268</v>
      </c>
      <c r="BW76" s="118">
        <f t="shared" ref="BW76:BW82" si="41">F18</f>
        <v>331</v>
      </c>
      <c r="BX76" s="47"/>
      <c r="BY76" s="61">
        <f>ABS(BU76-BU$83)</f>
        <v>72.285714285714278</v>
      </c>
      <c r="BZ76" s="117">
        <f>ABS(BV76-BV$83)</f>
        <v>37.714285714285722</v>
      </c>
      <c r="CA76" s="118">
        <f>ABS(BW76-BW$83)</f>
        <v>27</v>
      </c>
      <c r="CC76" s="87" t="s">
        <v>47</v>
      </c>
      <c r="CD76" s="87" t="s">
        <v>11</v>
      </c>
      <c r="CE76" s="87" t="s">
        <v>10</v>
      </c>
      <c r="CF76" s="87" t="s">
        <v>106</v>
      </c>
      <c r="CG76" s="87" t="s">
        <v>48</v>
      </c>
    </row>
    <row r="77" spans="72:87" x14ac:dyDescent="0.25">
      <c r="BU77" s="107">
        <f t="shared" si="39"/>
        <v>298</v>
      </c>
      <c r="BV77" s="7">
        <f t="shared" si="40"/>
        <v>470</v>
      </c>
      <c r="BW77" s="108">
        <f t="shared" si="41"/>
        <v>295</v>
      </c>
      <c r="BX77" s="47"/>
      <c r="BY77" s="107">
        <f t="shared" ref="BY77:BY82" si="42">ABS(BU77-BU$83)</f>
        <v>85.714285714285722</v>
      </c>
      <c r="BZ77" s="7">
        <f t="shared" ref="BZ77:BZ82" si="43">ABS(BV77-BV$83)</f>
        <v>164.28571428571428</v>
      </c>
      <c r="CA77" s="108">
        <f t="shared" ref="CA77:CA82" si="44">ABS(BW77-BW$83)</f>
        <v>63</v>
      </c>
      <c r="CC77" s="16" t="s">
        <v>267</v>
      </c>
      <c r="CD77" s="16">
        <v>7</v>
      </c>
      <c r="CE77" s="16">
        <v>391.71428571428572</v>
      </c>
      <c r="CF77" s="16">
        <v>55.95918367346939</v>
      </c>
      <c r="CG77" s="16">
        <v>665.56948493683194</v>
      </c>
    </row>
    <row r="78" spans="72:87" x14ac:dyDescent="0.25">
      <c r="BU78" s="107">
        <f t="shared" si="39"/>
        <v>342</v>
      </c>
      <c r="BV78" s="7">
        <f t="shared" si="40"/>
        <v>273</v>
      </c>
      <c r="BW78" s="108">
        <f t="shared" si="41"/>
        <v>373</v>
      </c>
      <c r="BX78" s="47"/>
      <c r="BY78" s="107">
        <f t="shared" si="42"/>
        <v>41.714285714285722</v>
      </c>
      <c r="BZ78" s="7">
        <f t="shared" si="43"/>
        <v>32.714285714285722</v>
      </c>
      <c r="CA78" s="108">
        <f t="shared" si="44"/>
        <v>15</v>
      </c>
      <c r="CC78" s="16" t="s">
        <v>268</v>
      </c>
      <c r="CD78" s="16">
        <v>7</v>
      </c>
      <c r="CE78" s="16">
        <v>407.71428571428572</v>
      </c>
      <c r="CF78" s="16">
        <v>58.244897959183675</v>
      </c>
      <c r="CG78" s="16">
        <v>2592.0252672497572</v>
      </c>
    </row>
    <row r="79" spans="72:87" ht="15.75" thickBot="1" x14ac:dyDescent="0.3">
      <c r="BU79" s="107">
        <f t="shared" si="39"/>
        <v>468</v>
      </c>
      <c r="BV79" s="7">
        <f t="shared" si="40"/>
        <v>320</v>
      </c>
      <c r="BW79" s="108">
        <f t="shared" si="41"/>
        <v>305</v>
      </c>
      <c r="BX79" s="47"/>
      <c r="BY79" s="107">
        <f t="shared" si="42"/>
        <v>84.285714285714278</v>
      </c>
      <c r="BZ79" s="7">
        <f t="shared" si="43"/>
        <v>14.285714285714278</v>
      </c>
      <c r="CA79" s="108">
        <f t="shared" si="44"/>
        <v>53</v>
      </c>
      <c r="CC79" s="17" t="s">
        <v>45</v>
      </c>
      <c r="CD79" s="17">
        <v>7</v>
      </c>
      <c r="CE79" s="17">
        <v>354</v>
      </c>
      <c r="CF79" s="17">
        <v>50.571428571428569</v>
      </c>
      <c r="CG79" s="17">
        <v>696.61904761904771</v>
      </c>
    </row>
    <row r="80" spans="72:87" x14ac:dyDescent="0.25">
      <c r="BU80" s="107">
        <f t="shared" si="39"/>
        <v>332</v>
      </c>
      <c r="BV80" s="7">
        <f t="shared" si="40"/>
        <v>233</v>
      </c>
      <c r="BW80" s="108">
        <f t="shared" si="41"/>
        <v>445</v>
      </c>
      <c r="BX80" s="47"/>
      <c r="BY80" s="107">
        <f t="shared" si="42"/>
        <v>51.714285714285722</v>
      </c>
      <c r="BZ80" s="7">
        <f t="shared" si="43"/>
        <v>72.714285714285722</v>
      </c>
      <c r="CA80" s="108">
        <f t="shared" si="44"/>
        <v>87</v>
      </c>
    </row>
    <row r="81" spans="72:87" x14ac:dyDescent="0.25">
      <c r="BU81" s="107">
        <f t="shared" si="39"/>
        <v>367</v>
      </c>
      <c r="BV81" s="7">
        <f t="shared" si="40"/>
        <v>245</v>
      </c>
      <c r="BW81" s="108">
        <f t="shared" si="41"/>
        <v>433</v>
      </c>
      <c r="BX81" s="47"/>
      <c r="BY81" s="107">
        <f t="shared" si="42"/>
        <v>16.714285714285722</v>
      </c>
      <c r="BZ81" s="7">
        <f t="shared" si="43"/>
        <v>60.714285714285722</v>
      </c>
      <c r="CA81" s="108">
        <f t="shared" si="44"/>
        <v>75</v>
      </c>
    </row>
    <row r="82" spans="72:87" ht="15.75" thickBot="1" x14ac:dyDescent="0.3">
      <c r="BU82" s="52">
        <f t="shared" si="39"/>
        <v>423</v>
      </c>
      <c r="BV82" s="53">
        <f t="shared" si="40"/>
        <v>331</v>
      </c>
      <c r="BW82" s="56">
        <f t="shared" si="41"/>
        <v>324</v>
      </c>
      <c r="BX82" s="47"/>
      <c r="BY82" s="52">
        <f t="shared" si="42"/>
        <v>39.285714285714278</v>
      </c>
      <c r="BZ82" s="53">
        <f t="shared" si="43"/>
        <v>25.285714285714278</v>
      </c>
      <c r="CA82" s="56">
        <f t="shared" si="44"/>
        <v>34</v>
      </c>
      <c r="CC82" t="s">
        <v>84</v>
      </c>
    </row>
    <row r="83" spans="72:87" x14ac:dyDescent="0.25">
      <c r="BT83" t="s">
        <v>6</v>
      </c>
      <c r="BU83" s="23">
        <f>AVERAGE(BU76:BU82)</f>
        <v>383.71428571428572</v>
      </c>
      <c r="BV83" s="23">
        <f>AVERAGE(BV76:BV82)</f>
        <v>305.71428571428572</v>
      </c>
      <c r="BW83" s="23">
        <f>AVERAGE(BW76:BW82)</f>
        <v>358</v>
      </c>
      <c r="BX83" s="136"/>
      <c r="BY83" s="136"/>
      <c r="BZ83" s="136"/>
      <c r="CA83" s="136"/>
      <c r="CC83" s="87" t="s">
        <v>107</v>
      </c>
      <c r="CD83" s="87" t="s">
        <v>76</v>
      </c>
      <c r="CE83" s="87" t="s">
        <v>37</v>
      </c>
      <c r="CF83" s="87" t="s">
        <v>78</v>
      </c>
      <c r="CG83" s="87" t="s">
        <v>68</v>
      </c>
      <c r="CH83" s="87" t="s">
        <v>62</v>
      </c>
      <c r="CI83" s="87" t="s">
        <v>108</v>
      </c>
    </row>
    <row r="84" spans="72:87" x14ac:dyDescent="0.25">
      <c r="BT84" t="s">
        <v>7</v>
      </c>
      <c r="BU84" s="23">
        <f>VAR(BU76:BU83)</f>
        <v>3701.9183673469483</v>
      </c>
      <c r="BV84" s="23">
        <f>VAR(BV76:BV82)</f>
        <v>6549.9047619047533</v>
      </c>
      <c r="BW84" s="23">
        <f>VAR(BW76:BW82)</f>
        <v>3680.3333333333335</v>
      </c>
      <c r="CC84" s="16" t="s">
        <v>103</v>
      </c>
      <c r="CD84" s="16">
        <v>217.3138969873653</v>
      </c>
      <c r="CE84" s="16">
        <v>2</v>
      </c>
      <c r="CF84" s="16">
        <v>108.65694849368265</v>
      </c>
      <c r="CG84" s="16">
        <v>8.243632286576677E-2</v>
      </c>
      <c r="CH84" s="16">
        <v>0.92121569737530185</v>
      </c>
      <c r="CI84" s="16">
        <v>3.5545571456617879</v>
      </c>
    </row>
    <row r="85" spans="72:87" x14ac:dyDescent="0.25">
      <c r="CC85" s="16" t="s">
        <v>104</v>
      </c>
      <c r="CD85" s="16">
        <v>23725.282798833821</v>
      </c>
      <c r="CE85" s="16">
        <v>18</v>
      </c>
      <c r="CF85" s="16">
        <v>1318.071266601879</v>
      </c>
      <c r="CG85" s="16"/>
      <c r="CH85" s="16"/>
      <c r="CI85" s="16"/>
    </row>
    <row r="86" spans="72:87" x14ac:dyDescent="0.25">
      <c r="CC86" s="16"/>
      <c r="CD86" s="16"/>
      <c r="CE86" s="16"/>
      <c r="CF86" s="16"/>
      <c r="CG86" s="16"/>
      <c r="CH86" s="16"/>
      <c r="CI86" s="16"/>
    </row>
    <row r="87" spans="72:87" ht="15.75" thickBot="1" x14ac:dyDescent="0.3">
      <c r="CC87" s="17" t="s">
        <v>1</v>
      </c>
      <c r="CD87" s="17">
        <v>23942.596695821187</v>
      </c>
      <c r="CE87" s="17">
        <v>20</v>
      </c>
      <c r="CF87" s="17"/>
      <c r="CG87" s="17"/>
      <c r="CH87" s="17"/>
      <c r="CI87" s="17"/>
    </row>
    <row r="90" spans="72:87" x14ac:dyDescent="0.25">
      <c r="BU90" t="s">
        <v>312</v>
      </c>
      <c r="CC90" t="s">
        <v>105</v>
      </c>
    </row>
    <row r="92" spans="72:87" ht="15.75" thickBot="1" x14ac:dyDescent="0.3">
      <c r="BU92" s="86" t="s">
        <v>267</v>
      </c>
      <c r="BV92" s="86" t="s">
        <v>268</v>
      </c>
      <c r="BW92" s="86" t="s">
        <v>45</v>
      </c>
      <c r="BX92" s="44"/>
      <c r="BY92" s="86" t="s">
        <v>267</v>
      </c>
      <c r="BZ92" s="86" t="s">
        <v>268</v>
      </c>
      <c r="CA92" s="86" t="s">
        <v>45</v>
      </c>
      <c r="CC92" t="s">
        <v>39</v>
      </c>
    </row>
    <row r="93" spans="72:87" x14ac:dyDescent="0.25">
      <c r="BU93" s="61">
        <f t="shared" ref="BU93:BW99" si="45">BD6</f>
        <v>358.8</v>
      </c>
      <c r="BV93" s="117">
        <f t="shared" si="45"/>
        <v>230.8</v>
      </c>
      <c r="BW93" s="118">
        <f t="shared" si="45"/>
        <v>249.8</v>
      </c>
      <c r="BX93" s="47"/>
      <c r="BY93" s="61">
        <f>ABS(BU93-BU$100)</f>
        <v>44.028571428571411</v>
      </c>
      <c r="BZ93" s="117">
        <f>ABS(BV93-BV$100)</f>
        <v>14.314285714285745</v>
      </c>
      <c r="CA93" s="118">
        <f>ABS(BW93-BW$100)</f>
        <v>35.799999999999955</v>
      </c>
      <c r="CC93" s="87" t="s">
        <v>47</v>
      </c>
      <c r="CD93" s="87" t="s">
        <v>11</v>
      </c>
      <c r="CE93" s="87" t="s">
        <v>10</v>
      </c>
      <c r="CF93" s="87" t="s">
        <v>106</v>
      </c>
      <c r="CG93" s="87" t="s">
        <v>48</v>
      </c>
    </row>
    <row r="94" spans="72:87" x14ac:dyDescent="0.25">
      <c r="BU94" s="107">
        <f t="shared" si="45"/>
        <v>258.60000000000002</v>
      </c>
      <c r="BV94" s="7">
        <f t="shared" si="45"/>
        <v>245.4</v>
      </c>
      <c r="BW94" s="108">
        <f t="shared" si="45"/>
        <v>279</v>
      </c>
      <c r="BX94" s="47"/>
      <c r="BY94" s="107">
        <f t="shared" ref="BY94:BY99" si="46">ABS(BU94-BU$100)</f>
        <v>56.171428571428578</v>
      </c>
      <c r="BZ94" s="7">
        <f t="shared" ref="BZ94:BZ99" si="47">ABS(BV94-BV$100)</f>
        <v>28.914285714285739</v>
      </c>
      <c r="CA94" s="108">
        <f t="shared" ref="CA94:CA99" si="48">ABS(BW94-BW$100)</f>
        <v>6.5999999999999659</v>
      </c>
      <c r="CC94" s="16" t="s">
        <v>267</v>
      </c>
      <c r="CD94" s="16">
        <v>7</v>
      </c>
      <c r="CE94" s="16">
        <v>318.22857142857134</v>
      </c>
      <c r="CF94" s="16">
        <v>45.461224489795903</v>
      </c>
      <c r="CG94" s="16">
        <v>424.56229348882454</v>
      </c>
    </row>
    <row r="95" spans="72:87" x14ac:dyDescent="0.25">
      <c r="BU95" s="107">
        <f t="shared" si="45"/>
        <v>331.8</v>
      </c>
      <c r="BV95" s="7">
        <f t="shared" si="45"/>
        <v>274.8</v>
      </c>
      <c r="BW95" s="108">
        <f t="shared" si="45"/>
        <v>258.39999999999998</v>
      </c>
      <c r="BX95" s="47"/>
      <c r="BY95" s="107">
        <f t="shared" si="46"/>
        <v>17.028571428571411</v>
      </c>
      <c r="BZ95" s="7">
        <f t="shared" si="47"/>
        <v>58.314285714285745</v>
      </c>
      <c r="CA95" s="108">
        <f t="shared" si="48"/>
        <v>27.199999999999989</v>
      </c>
      <c r="CC95" s="16" t="s">
        <v>268</v>
      </c>
      <c r="CD95" s="16">
        <v>7</v>
      </c>
      <c r="CE95" s="16">
        <v>238.9142857142858</v>
      </c>
      <c r="CF95" s="16">
        <v>34.130612244897968</v>
      </c>
      <c r="CG95" s="16">
        <v>582.08295432458692</v>
      </c>
    </row>
    <row r="96" spans="72:87" ht="15.75" thickBot="1" x14ac:dyDescent="0.3">
      <c r="BU96" s="107">
        <f t="shared" si="45"/>
        <v>372.2</v>
      </c>
      <c r="BV96" s="7">
        <f t="shared" si="45"/>
        <v>234.4</v>
      </c>
      <c r="BW96" s="108">
        <f t="shared" si="45"/>
        <v>264.60000000000002</v>
      </c>
      <c r="BX96" s="47"/>
      <c r="BY96" s="107">
        <f t="shared" si="46"/>
        <v>57.428571428571388</v>
      </c>
      <c r="BZ96" s="7">
        <f t="shared" si="47"/>
        <v>17.914285714285739</v>
      </c>
      <c r="CA96" s="108">
        <f t="shared" si="48"/>
        <v>20.999999999999943</v>
      </c>
      <c r="CC96" s="17" t="s">
        <v>45</v>
      </c>
      <c r="CD96" s="17">
        <v>7</v>
      </c>
      <c r="CE96" s="17">
        <v>231.19999999999982</v>
      </c>
      <c r="CF96" s="17">
        <v>33.028571428571404</v>
      </c>
      <c r="CG96" s="17">
        <v>396.08571428571531</v>
      </c>
    </row>
    <row r="97" spans="72:87" x14ac:dyDescent="0.25">
      <c r="BU97" s="107">
        <f t="shared" si="45"/>
        <v>237</v>
      </c>
      <c r="BV97" s="7">
        <f t="shared" si="45"/>
        <v>214.2</v>
      </c>
      <c r="BW97" s="108">
        <f t="shared" si="45"/>
        <v>353.4</v>
      </c>
      <c r="BX97" s="47"/>
      <c r="BY97" s="107">
        <f t="shared" si="46"/>
        <v>77.771428571428601</v>
      </c>
      <c r="BZ97" s="7">
        <f t="shared" si="47"/>
        <v>2.2857142857142776</v>
      </c>
      <c r="CA97" s="108">
        <f t="shared" si="48"/>
        <v>67.800000000000011</v>
      </c>
    </row>
    <row r="98" spans="72:87" x14ac:dyDescent="0.25">
      <c r="BU98" s="107">
        <f t="shared" si="45"/>
        <v>289.60000000000002</v>
      </c>
      <c r="BV98" s="7">
        <f t="shared" si="45"/>
        <v>155.19999999999999</v>
      </c>
      <c r="BW98" s="108">
        <f t="shared" si="45"/>
        <v>333.4</v>
      </c>
      <c r="BX98" s="47"/>
      <c r="BY98" s="107">
        <f t="shared" si="46"/>
        <v>25.171428571428578</v>
      </c>
      <c r="BZ98" s="7">
        <f t="shared" si="47"/>
        <v>61.285714285714278</v>
      </c>
      <c r="CA98" s="108">
        <f t="shared" si="48"/>
        <v>47.800000000000011</v>
      </c>
    </row>
    <row r="99" spans="72:87" ht="15.75" thickBot="1" x14ac:dyDescent="0.3">
      <c r="BU99" s="52">
        <f t="shared" si="45"/>
        <v>355.4</v>
      </c>
      <c r="BV99" s="53">
        <f t="shared" si="45"/>
        <v>160.6</v>
      </c>
      <c r="BW99" s="56">
        <f t="shared" si="45"/>
        <v>260.60000000000002</v>
      </c>
      <c r="BX99" s="47"/>
      <c r="BY99" s="52">
        <f t="shared" si="46"/>
        <v>40.628571428571377</v>
      </c>
      <c r="BZ99" s="53">
        <f t="shared" si="47"/>
        <v>55.885714285714272</v>
      </c>
      <c r="CA99" s="56">
        <f t="shared" si="48"/>
        <v>24.999999999999943</v>
      </c>
      <c r="CC99" t="s">
        <v>84</v>
      </c>
    </row>
    <row r="100" spans="72:87" x14ac:dyDescent="0.25">
      <c r="BT100" t="s">
        <v>6</v>
      </c>
      <c r="BU100" s="23">
        <f>AVERAGE(BU93:BU99)</f>
        <v>314.7714285714286</v>
      </c>
      <c r="BV100" s="23">
        <f>AVERAGE(BV93:BV99)</f>
        <v>216.48571428571427</v>
      </c>
      <c r="BW100" s="23">
        <f>AVERAGE(BW93:BW99)</f>
        <v>285.59999999999997</v>
      </c>
      <c r="BX100" s="136"/>
      <c r="BY100" s="136"/>
      <c r="BZ100" s="136"/>
      <c r="CA100" s="136"/>
      <c r="CC100" s="87" t="s">
        <v>107</v>
      </c>
      <c r="CD100" s="87" t="s">
        <v>76</v>
      </c>
      <c r="CE100" s="87" t="s">
        <v>37</v>
      </c>
      <c r="CF100" s="87" t="s">
        <v>78</v>
      </c>
      <c r="CG100" s="87" t="s">
        <v>68</v>
      </c>
      <c r="CH100" s="87" t="s">
        <v>62</v>
      </c>
      <c r="CI100" s="87" t="s">
        <v>108</v>
      </c>
    </row>
    <row r="101" spans="72:87" x14ac:dyDescent="0.25">
      <c r="BT101" t="s">
        <v>7</v>
      </c>
      <c r="BU101" s="23">
        <f>VAR(BU93:BU100)</f>
        <v>2430.6334693877393</v>
      </c>
      <c r="BV101" s="23">
        <f>VAR(BV93:BV99)</f>
        <v>1941.1314285714373</v>
      </c>
      <c r="BW101" s="23">
        <f>VAR(BW93:BW99)</f>
        <v>1668.7866666666814</v>
      </c>
      <c r="CC101" s="16" t="s">
        <v>103</v>
      </c>
      <c r="CD101" s="16">
        <v>663.05896987366395</v>
      </c>
      <c r="CE101" s="16">
        <v>2</v>
      </c>
      <c r="CF101" s="16">
        <v>331.52948493683198</v>
      </c>
      <c r="CG101" s="16">
        <v>0.70903721503526029</v>
      </c>
      <c r="CH101" s="16">
        <v>0.50535561227403336</v>
      </c>
      <c r="CI101" s="16">
        <v>3.5545571456617879</v>
      </c>
    </row>
    <row r="102" spans="72:87" x14ac:dyDescent="0.25">
      <c r="CC102" s="16" t="s">
        <v>104</v>
      </c>
      <c r="CD102" s="16">
        <v>8416.3857725947582</v>
      </c>
      <c r="CE102" s="16">
        <v>18</v>
      </c>
      <c r="CF102" s="16">
        <v>467.57698736637548</v>
      </c>
      <c r="CG102" s="16"/>
      <c r="CH102" s="16"/>
      <c r="CI102" s="16"/>
    </row>
    <row r="103" spans="72:87" x14ac:dyDescent="0.25">
      <c r="CC103" s="16"/>
      <c r="CD103" s="16"/>
      <c r="CE103" s="16"/>
      <c r="CF103" s="16"/>
      <c r="CG103" s="16"/>
      <c r="CH103" s="16"/>
      <c r="CI103" s="16"/>
    </row>
    <row r="104" spans="72:87" ht="15.75" thickBot="1" x14ac:dyDescent="0.3">
      <c r="CC104" s="17" t="s">
        <v>1</v>
      </c>
      <c r="CD104" s="17">
        <v>9079.4447424684222</v>
      </c>
      <c r="CE104" s="17">
        <v>20</v>
      </c>
      <c r="CF104" s="17"/>
      <c r="CG104" s="17"/>
      <c r="CH104" s="17"/>
      <c r="CI104" s="17"/>
    </row>
  </sheetData>
  <pageMargins left="0.7" right="0.7" top="0.75" bottom="0.75" header="0.3" footer="0.3"/>
  <ignoredErrors>
    <ignoredError sqref="L5 J9:N11" formulaRange="1"/>
  </ignoredErrors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0"/>
  <dimension ref="A1:W25"/>
  <sheetViews>
    <sheetView workbookViewId="0"/>
  </sheetViews>
  <sheetFormatPr defaultRowHeight="15" x14ac:dyDescent="0.25"/>
  <cols>
    <col min="1" max="1" width="18.140625" customWidth="1"/>
    <col min="9" max="9" width="17.5703125" customWidth="1"/>
    <col min="17" max="17" width="18.28515625" customWidth="1"/>
    <col min="18" max="23" width="9.42578125" customWidth="1"/>
  </cols>
  <sheetData>
    <row r="1" spans="1:21" x14ac:dyDescent="0.25">
      <c r="A1" t="s">
        <v>428</v>
      </c>
      <c r="I1" t="s">
        <v>429</v>
      </c>
      <c r="Q1" t="s">
        <v>430</v>
      </c>
    </row>
    <row r="2" spans="1:21" ht="15.75" thickBot="1" x14ac:dyDescent="0.3"/>
    <row r="3" spans="1:21" x14ac:dyDescent="0.25">
      <c r="A3" s="87" t="s">
        <v>39</v>
      </c>
      <c r="B3" s="87" t="s">
        <v>11</v>
      </c>
      <c r="C3" s="87" t="s">
        <v>10</v>
      </c>
      <c r="D3" s="87" t="s">
        <v>106</v>
      </c>
      <c r="E3" s="87" t="s">
        <v>48</v>
      </c>
      <c r="I3" s="170" t="s">
        <v>39</v>
      </c>
      <c r="J3" s="170" t="s">
        <v>11</v>
      </c>
      <c r="K3" s="170" t="s">
        <v>10</v>
      </c>
      <c r="L3" s="170" t="s">
        <v>106</v>
      </c>
      <c r="M3" s="170" t="s">
        <v>48</v>
      </c>
      <c r="Q3" s="170" t="s">
        <v>39</v>
      </c>
      <c r="R3" s="170" t="s">
        <v>11</v>
      </c>
      <c r="S3" s="170" t="s">
        <v>10</v>
      </c>
      <c r="T3" s="170" t="s">
        <v>106</v>
      </c>
      <c r="U3" s="170" t="s">
        <v>48</v>
      </c>
    </row>
    <row r="4" spans="1:21" x14ac:dyDescent="0.25">
      <c r="A4" s="16" t="s">
        <v>334</v>
      </c>
      <c r="B4" s="16">
        <v>5</v>
      </c>
      <c r="C4" s="16">
        <v>1794</v>
      </c>
      <c r="D4" s="16">
        <v>358.8</v>
      </c>
      <c r="E4" s="16">
        <v>8705.2000000000116</v>
      </c>
      <c r="I4" s="16" t="s">
        <v>334</v>
      </c>
      <c r="J4" s="16">
        <v>5</v>
      </c>
      <c r="K4" s="16">
        <v>1154</v>
      </c>
      <c r="L4" s="16">
        <v>230.8</v>
      </c>
      <c r="M4" s="16">
        <v>14531.699999999997</v>
      </c>
      <c r="Q4" s="16" t="s">
        <v>334</v>
      </c>
      <c r="R4" s="16">
        <v>5</v>
      </c>
      <c r="S4" s="16">
        <v>1249</v>
      </c>
      <c r="T4" s="16">
        <v>249.8</v>
      </c>
      <c r="U4" s="16">
        <v>14201.699999999997</v>
      </c>
    </row>
    <row r="5" spans="1:21" x14ac:dyDescent="0.25">
      <c r="A5" s="16" t="s">
        <v>335</v>
      </c>
      <c r="B5" s="16">
        <v>5</v>
      </c>
      <c r="C5" s="16">
        <v>1293</v>
      </c>
      <c r="D5" s="16">
        <v>258.60000000000002</v>
      </c>
      <c r="E5" s="16">
        <v>15928.300000000003</v>
      </c>
      <c r="I5" s="16" t="s">
        <v>335</v>
      </c>
      <c r="J5" s="16">
        <v>5</v>
      </c>
      <c r="K5" s="16">
        <v>1227</v>
      </c>
      <c r="L5" s="16">
        <v>245.4</v>
      </c>
      <c r="M5" s="16">
        <v>30900.800000000003</v>
      </c>
      <c r="Q5" s="16" t="s">
        <v>335</v>
      </c>
      <c r="R5" s="16">
        <v>5</v>
      </c>
      <c r="S5" s="16">
        <v>1395</v>
      </c>
      <c r="T5" s="16">
        <v>279</v>
      </c>
      <c r="U5" s="16">
        <v>14387.5</v>
      </c>
    </row>
    <row r="6" spans="1:21" x14ac:dyDescent="0.25">
      <c r="A6" s="16" t="s">
        <v>336</v>
      </c>
      <c r="B6" s="16">
        <v>5</v>
      </c>
      <c r="C6" s="16">
        <v>1659</v>
      </c>
      <c r="D6" s="16">
        <v>331.8</v>
      </c>
      <c r="E6" s="16">
        <v>5581.7000000000116</v>
      </c>
      <c r="I6" s="16" t="s">
        <v>336</v>
      </c>
      <c r="J6" s="16">
        <v>5</v>
      </c>
      <c r="K6" s="16">
        <v>1374</v>
      </c>
      <c r="L6" s="16">
        <v>274.8</v>
      </c>
      <c r="M6" s="16">
        <v>29150.699999999997</v>
      </c>
      <c r="Q6" s="16" t="s">
        <v>336</v>
      </c>
      <c r="R6" s="16">
        <v>5</v>
      </c>
      <c r="S6" s="16">
        <v>1292</v>
      </c>
      <c r="T6" s="16">
        <v>258.39999999999998</v>
      </c>
      <c r="U6" s="16">
        <v>20328.800000000003</v>
      </c>
    </row>
    <row r="7" spans="1:21" x14ac:dyDescent="0.25">
      <c r="A7" s="16" t="s">
        <v>337</v>
      </c>
      <c r="B7" s="16">
        <v>5</v>
      </c>
      <c r="C7" s="16">
        <v>1861</v>
      </c>
      <c r="D7" s="16">
        <v>372.2</v>
      </c>
      <c r="E7" s="16">
        <v>8547.7000000000116</v>
      </c>
      <c r="I7" s="16" t="s">
        <v>337</v>
      </c>
      <c r="J7" s="16">
        <v>5</v>
      </c>
      <c r="K7" s="16">
        <v>1172</v>
      </c>
      <c r="L7" s="16">
        <v>234.4</v>
      </c>
      <c r="M7" s="16">
        <v>2907.8000000000029</v>
      </c>
      <c r="Q7" s="16" t="s">
        <v>337</v>
      </c>
      <c r="R7" s="16">
        <v>5</v>
      </c>
      <c r="S7" s="16">
        <v>1323</v>
      </c>
      <c r="T7" s="16">
        <v>264.60000000000002</v>
      </c>
      <c r="U7" s="16">
        <v>15914.300000000003</v>
      </c>
    </row>
    <row r="8" spans="1:21" x14ac:dyDescent="0.25">
      <c r="A8" s="16" t="s">
        <v>338</v>
      </c>
      <c r="B8" s="16">
        <v>5</v>
      </c>
      <c r="C8" s="16">
        <v>1185</v>
      </c>
      <c r="D8" s="16">
        <v>237</v>
      </c>
      <c r="E8" s="16">
        <v>5664.5</v>
      </c>
      <c r="I8" s="16" t="s">
        <v>338</v>
      </c>
      <c r="J8" s="16">
        <v>5</v>
      </c>
      <c r="K8" s="16">
        <v>1071</v>
      </c>
      <c r="L8" s="16">
        <v>214.2</v>
      </c>
      <c r="M8" s="16">
        <v>20786.199999999997</v>
      </c>
      <c r="Q8" s="16" t="s">
        <v>338</v>
      </c>
      <c r="R8" s="16">
        <v>5</v>
      </c>
      <c r="S8" s="16">
        <v>1767</v>
      </c>
      <c r="T8" s="16">
        <v>353.4</v>
      </c>
      <c r="U8" s="16">
        <v>19106.799999999988</v>
      </c>
    </row>
    <row r="9" spans="1:21" x14ac:dyDescent="0.25">
      <c r="A9" s="16" t="s">
        <v>339</v>
      </c>
      <c r="B9" s="16">
        <v>5</v>
      </c>
      <c r="C9" s="16">
        <v>1448</v>
      </c>
      <c r="D9" s="16">
        <v>289.60000000000002</v>
      </c>
      <c r="E9" s="16">
        <v>13308.800000000003</v>
      </c>
      <c r="I9" s="16" t="s">
        <v>339</v>
      </c>
      <c r="J9" s="16">
        <v>5</v>
      </c>
      <c r="K9" s="16">
        <v>776</v>
      </c>
      <c r="L9" s="16">
        <v>155.19999999999999</v>
      </c>
      <c r="M9" s="16">
        <v>9026.2000000000007</v>
      </c>
      <c r="Q9" s="16" t="s">
        <v>339</v>
      </c>
      <c r="R9" s="16">
        <v>5</v>
      </c>
      <c r="S9" s="16">
        <v>1667</v>
      </c>
      <c r="T9" s="16">
        <v>333.4</v>
      </c>
      <c r="U9" s="16">
        <v>26366.799999999988</v>
      </c>
    </row>
    <row r="10" spans="1:21" x14ac:dyDescent="0.25">
      <c r="A10" s="16" t="s">
        <v>340</v>
      </c>
      <c r="B10" s="16">
        <v>5</v>
      </c>
      <c r="C10" s="16">
        <v>1777</v>
      </c>
      <c r="D10" s="16">
        <v>355.4</v>
      </c>
      <c r="E10" s="16">
        <v>7384.7999999999884</v>
      </c>
      <c r="I10" s="16" t="s">
        <v>340</v>
      </c>
      <c r="J10" s="16">
        <v>5</v>
      </c>
      <c r="K10" s="16">
        <v>803</v>
      </c>
      <c r="L10" s="16">
        <v>160.6</v>
      </c>
      <c r="M10" s="16">
        <v>15467.3</v>
      </c>
      <c r="Q10" s="16" t="s">
        <v>340</v>
      </c>
      <c r="R10" s="16">
        <v>5</v>
      </c>
      <c r="S10" s="16">
        <v>1303</v>
      </c>
      <c r="T10" s="16">
        <v>260.60000000000002</v>
      </c>
      <c r="U10" s="16">
        <v>8206.3000000000029</v>
      </c>
    </row>
    <row r="11" spans="1:21" x14ac:dyDescent="0.25">
      <c r="A11" s="16"/>
      <c r="B11" s="16"/>
      <c r="C11" s="16"/>
      <c r="D11" s="16"/>
      <c r="E11" s="16"/>
      <c r="I11" s="16"/>
      <c r="J11" s="16"/>
      <c r="K11" s="16"/>
      <c r="L11" s="16"/>
      <c r="M11" s="16"/>
      <c r="Q11" s="16"/>
      <c r="R11" s="16"/>
      <c r="S11" s="16"/>
      <c r="T11" s="16"/>
      <c r="U11" s="16"/>
    </row>
    <row r="12" spans="1:21" x14ac:dyDescent="0.25">
      <c r="A12" s="16" t="s">
        <v>341</v>
      </c>
      <c r="B12" s="16">
        <v>7</v>
      </c>
      <c r="C12" s="16">
        <v>1294</v>
      </c>
      <c r="D12" s="16">
        <v>184.85714285714286</v>
      </c>
      <c r="E12" s="16">
        <v>5971.1428571428551</v>
      </c>
      <c r="I12" s="16" t="s">
        <v>341</v>
      </c>
      <c r="J12" s="16">
        <v>7</v>
      </c>
      <c r="K12" s="16">
        <v>381</v>
      </c>
      <c r="L12" s="16">
        <v>54.428571428571431</v>
      </c>
      <c r="M12" s="16">
        <v>4377.6190476190477</v>
      </c>
      <c r="Q12" s="16" t="s">
        <v>341</v>
      </c>
      <c r="R12" s="16">
        <v>7</v>
      </c>
      <c r="S12" s="16">
        <v>612</v>
      </c>
      <c r="T12" s="16">
        <v>87.428571428571431</v>
      </c>
      <c r="U12" s="16">
        <v>937.61904761904714</v>
      </c>
    </row>
    <row r="13" spans="1:21" x14ac:dyDescent="0.25">
      <c r="A13" s="16" t="s">
        <v>342</v>
      </c>
      <c r="B13" s="16">
        <v>7</v>
      </c>
      <c r="C13" s="16">
        <v>1819</v>
      </c>
      <c r="D13" s="16">
        <v>259.85714285714283</v>
      </c>
      <c r="E13" s="16">
        <v>2915.1428571428601</v>
      </c>
      <c r="I13" s="16" t="s">
        <v>342</v>
      </c>
      <c r="J13" s="16">
        <v>7</v>
      </c>
      <c r="K13" s="16">
        <v>834</v>
      </c>
      <c r="L13" s="16">
        <v>119.14285714285714</v>
      </c>
      <c r="M13" s="16">
        <v>2236.8095238095243</v>
      </c>
      <c r="Q13" s="16" t="s">
        <v>342</v>
      </c>
      <c r="R13" s="16">
        <v>7</v>
      </c>
      <c r="S13" s="16">
        <v>1671</v>
      </c>
      <c r="T13" s="16">
        <v>238.71428571428572</v>
      </c>
      <c r="U13" s="16">
        <v>4400.9047619047633</v>
      </c>
    </row>
    <row r="14" spans="1:21" x14ac:dyDescent="0.25">
      <c r="A14" s="16" t="s">
        <v>343</v>
      </c>
      <c r="B14" s="16">
        <v>7</v>
      </c>
      <c r="C14" s="16">
        <v>2680</v>
      </c>
      <c r="D14" s="16">
        <v>382.85714285714283</v>
      </c>
      <c r="E14" s="16">
        <v>4241.1428571428596</v>
      </c>
      <c r="I14" s="16" t="s">
        <v>343</v>
      </c>
      <c r="J14" s="16">
        <v>7</v>
      </c>
      <c r="K14" s="16">
        <v>2222</v>
      </c>
      <c r="L14" s="16">
        <v>317.42857142857144</v>
      </c>
      <c r="M14" s="16">
        <v>5699.2857142857201</v>
      </c>
      <c r="Q14" s="16" t="s">
        <v>343</v>
      </c>
      <c r="R14" s="16">
        <v>7</v>
      </c>
      <c r="S14" s="16">
        <v>2587</v>
      </c>
      <c r="T14" s="16">
        <v>369.57142857142856</v>
      </c>
      <c r="U14" s="16">
        <v>3550.6190476190532</v>
      </c>
    </row>
    <row r="15" spans="1:21" x14ac:dyDescent="0.25">
      <c r="A15" s="16" t="s">
        <v>344</v>
      </c>
      <c r="B15" s="16">
        <v>7</v>
      </c>
      <c r="C15" s="16">
        <v>2538</v>
      </c>
      <c r="D15" s="16">
        <v>362.57142857142856</v>
      </c>
      <c r="E15" s="16">
        <v>3318.2857142857197</v>
      </c>
      <c r="I15" s="16" t="s">
        <v>344</v>
      </c>
      <c r="J15" s="16">
        <v>7</v>
      </c>
      <c r="K15" s="16">
        <v>1971</v>
      </c>
      <c r="L15" s="16">
        <v>281.57142857142856</v>
      </c>
      <c r="M15" s="16">
        <v>3628.9523809523866</v>
      </c>
      <c r="Q15" s="16" t="s">
        <v>344</v>
      </c>
      <c r="R15" s="16">
        <v>7</v>
      </c>
      <c r="S15" s="16">
        <v>2620</v>
      </c>
      <c r="T15" s="16">
        <v>374.28571428571428</v>
      </c>
      <c r="U15" s="16">
        <v>2882.9047619047537</v>
      </c>
    </row>
    <row r="16" spans="1:21" ht="15.75" thickBot="1" x14ac:dyDescent="0.3">
      <c r="A16" s="17" t="s">
        <v>345</v>
      </c>
      <c r="B16" s="17">
        <v>7</v>
      </c>
      <c r="C16" s="17">
        <v>2686</v>
      </c>
      <c r="D16" s="17">
        <v>383.71428571428572</v>
      </c>
      <c r="E16" s="17">
        <v>4318.9047619047533</v>
      </c>
      <c r="I16" s="17" t="s">
        <v>345</v>
      </c>
      <c r="J16" s="17">
        <v>7</v>
      </c>
      <c r="K16" s="17">
        <v>2169</v>
      </c>
      <c r="L16" s="17">
        <v>309.85714285714283</v>
      </c>
      <c r="M16" s="17">
        <v>6914.4761904761936</v>
      </c>
      <c r="Q16" s="17" t="s">
        <v>345</v>
      </c>
      <c r="R16" s="17">
        <v>7</v>
      </c>
      <c r="S16" s="17">
        <v>2506</v>
      </c>
      <c r="T16" s="17">
        <v>358</v>
      </c>
      <c r="U16" s="17">
        <v>3680.3333333333335</v>
      </c>
    </row>
    <row r="19" spans="1:23" ht="15.75" thickBot="1" x14ac:dyDescent="0.3">
      <c r="A19" t="s">
        <v>84</v>
      </c>
      <c r="I19" t="s">
        <v>84</v>
      </c>
      <c r="Q19" t="s">
        <v>84</v>
      </c>
    </row>
    <row r="20" spans="1:23" x14ac:dyDescent="0.25">
      <c r="A20" s="87" t="s">
        <v>107</v>
      </c>
      <c r="B20" s="87" t="s">
        <v>76</v>
      </c>
      <c r="C20" s="87" t="s">
        <v>37</v>
      </c>
      <c r="D20" s="87" t="s">
        <v>78</v>
      </c>
      <c r="E20" s="87" t="s">
        <v>68</v>
      </c>
      <c r="F20" s="87" t="s">
        <v>62</v>
      </c>
      <c r="G20" s="87" t="s">
        <v>108</v>
      </c>
      <c r="I20" s="170" t="s">
        <v>107</v>
      </c>
      <c r="J20" s="170" t="s">
        <v>76</v>
      </c>
      <c r="K20" s="170" t="s">
        <v>37</v>
      </c>
      <c r="L20" s="170" t="s">
        <v>78</v>
      </c>
      <c r="M20" s="170" t="s">
        <v>68</v>
      </c>
      <c r="N20" s="170" t="s">
        <v>62</v>
      </c>
      <c r="O20" s="170" t="s">
        <v>108</v>
      </c>
      <c r="Q20" s="170" t="s">
        <v>107</v>
      </c>
      <c r="R20" s="170" t="s">
        <v>76</v>
      </c>
      <c r="S20" s="170" t="s">
        <v>37</v>
      </c>
      <c r="T20" s="170" t="s">
        <v>78</v>
      </c>
      <c r="U20" s="170" t="s">
        <v>68</v>
      </c>
      <c r="V20" s="170" t="s">
        <v>62</v>
      </c>
      <c r="W20" s="170" t="s">
        <v>108</v>
      </c>
    </row>
    <row r="21" spans="1:23" x14ac:dyDescent="0.25">
      <c r="A21" s="16" t="s">
        <v>69</v>
      </c>
      <c r="B21" s="16">
        <v>85072.171428571397</v>
      </c>
      <c r="C21" s="16">
        <v>6</v>
      </c>
      <c r="D21" s="16">
        <v>14178.695238095233</v>
      </c>
      <c r="E21" s="16">
        <v>8.6115148903433116</v>
      </c>
      <c r="F21" s="16">
        <v>4.7218804282676579E-5</v>
      </c>
      <c r="G21" s="16">
        <v>2.5081888234232559</v>
      </c>
      <c r="I21" s="16" t="s">
        <v>69</v>
      </c>
      <c r="J21" s="16">
        <v>58233.942857142829</v>
      </c>
      <c r="K21" s="16">
        <v>6</v>
      </c>
      <c r="L21" s="16">
        <v>9705.6571428571388</v>
      </c>
      <c r="M21" s="16">
        <v>2.9519576278182553</v>
      </c>
      <c r="N21" s="16">
        <v>2.6540423840703348E-2</v>
      </c>
      <c r="O21" s="16">
        <v>2.5081888234232559</v>
      </c>
      <c r="Q21" s="16" t="s">
        <v>69</v>
      </c>
      <c r="R21" s="16">
        <v>50063.599999999977</v>
      </c>
      <c r="S21" s="16">
        <v>6</v>
      </c>
      <c r="T21" s="16">
        <v>8343.9333333333288</v>
      </c>
      <c r="U21" s="16">
        <v>4.6952211118360836</v>
      </c>
      <c r="V21" s="16">
        <v>2.7144649208904891E-3</v>
      </c>
      <c r="W21" s="16">
        <v>2.5081888234232559</v>
      </c>
    </row>
    <row r="22" spans="1:23" x14ac:dyDescent="0.25">
      <c r="A22" s="16" t="s">
        <v>123</v>
      </c>
      <c r="B22" s="16">
        <v>220968.45714285711</v>
      </c>
      <c r="C22" s="16">
        <v>4</v>
      </c>
      <c r="D22" s="16">
        <v>55242.114285714277</v>
      </c>
      <c r="E22" s="16">
        <v>33.551626701681158</v>
      </c>
      <c r="F22" s="16">
        <v>1.6606146059093755E-9</v>
      </c>
      <c r="G22" s="16">
        <v>2.7762892892514786</v>
      </c>
      <c r="I22" s="16" t="s">
        <v>123</v>
      </c>
      <c r="J22" s="16">
        <v>412173.88571428566</v>
      </c>
      <c r="K22" s="16">
        <v>4</v>
      </c>
      <c r="L22" s="16">
        <v>103043.47142857141</v>
      </c>
      <c r="M22" s="16">
        <v>31.340480814769411</v>
      </c>
      <c r="N22" s="16">
        <v>3.2800032757234696E-9</v>
      </c>
      <c r="O22" s="16">
        <v>2.7762892892514786</v>
      </c>
      <c r="Q22" s="16" t="s">
        <v>123</v>
      </c>
      <c r="R22" s="16">
        <v>431398.11428571434</v>
      </c>
      <c r="S22" s="16">
        <v>4</v>
      </c>
      <c r="T22" s="16">
        <v>107849.52857142859</v>
      </c>
      <c r="U22" s="16">
        <v>60.688090762566894</v>
      </c>
      <c r="V22" s="16">
        <v>3.3537021761768956E-12</v>
      </c>
      <c r="W22" s="16">
        <v>2.7762892892514786</v>
      </c>
    </row>
    <row r="23" spans="1:23" x14ac:dyDescent="0.25">
      <c r="A23" s="16" t="s">
        <v>122</v>
      </c>
      <c r="B23" s="16">
        <v>39515.542857142922</v>
      </c>
      <c r="C23" s="16">
        <v>24</v>
      </c>
      <c r="D23" s="16">
        <v>1646.4809523809552</v>
      </c>
      <c r="E23" s="16"/>
      <c r="F23" s="16"/>
      <c r="G23" s="16"/>
      <c r="I23" s="16" t="s">
        <v>122</v>
      </c>
      <c r="J23" s="16">
        <v>78908.914285714331</v>
      </c>
      <c r="K23" s="16">
        <v>24</v>
      </c>
      <c r="L23" s="16">
        <v>3287.8714285714304</v>
      </c>
      <c r="M23" s="16"/>
      <c r="N23" s="16"/>
      <c r="O23" s="16"/>
      <c r="Q23" s="16" t="s">
        <v>122</v>
      </c>
      <c r="R23" s="16">
        <v>42650.685714285704</v>
      </c>
      <c r="S23" s="16">
        <v>24</v>
      </c>
      <c r="T23" s="16">
        <v>1777.1119047619043</v>
      </c>
      <c r="U23" s="16"/>
      <c r="V23" s="16"/>
      <c r="W23" s="16"/>
    </row>
    <row r="24" spans="1:23" x14ac:dyDescent="0.25">
      <c r="A24" s="16"/>
      <c r="B24" s="16"/>
      <c r="C24" s="16"/>
      <c r="D24" s="16"/>
      <c r="E24" s="16"/>
      <c r="F24" s="16"/>
      <c r="G24" s="16"/>
      <c r="I24" s="16"/>
      <c r="J24" s="16"/>
      <c r="K24" s="16"/>
      <c r="L24" s="16"/>
      <c r="M24" s="16"/>
      <c r="N24" s="16"/>
      <c r="O24" s="16"/>
      <c r="Q24" s="16"/>
      <c r="R24" s="16"/>
      <c r="S24" s="16"/>
      <c r="T24" s="16"/>
      <c r="U24" s="16"/>
      <c r="V24" s="16"/>
      <c r="W24" s="16"/>
    </row>
    <row r="25" spans="1:23" ht="15.75" thickBot="1" x14ac:dyDescent="0.3">
      <c r="A25" s="17" t="s">
        <v>1</v>
      </c>
      <c r="B25" s="17">
        <v>345556.1714285714</v>
      </c>
      <c r="C25" s="17">
        <v>34</v>
      </c>
      <c r="D25" s="17"/>
      <c r="E25" s="17"/>
      <c r="F25" s="17"/>
      <c r="G25" s="17"/>
      <c r="I25" s="17" t="s">
        <v>1</v>
      </c>
      <c r="J25" s="17">
        <v>549316.74285714282</v>
      </c>
      <c r="K25" s="17">
        <v>34</v>
      </c>
      <c r="L25" s="17"/>
      <c r="M25" s="17"/>
      <c r="N25" s="17"/>
      <c r="O25" s="17"/>
      <c r="Q25" s="17" t="s">
        <v>1</v>
      </c>
      <c r="R25" s="17">
        <v>524112.4</v>
      </c>
      <c r="S25" s="17">
        <v>34</v>
      </c>
      <c r="T25" s="17"/>
      <c r="U25" s="17"/>
      <c r="V25" s="17"/>
      <c r="W25" s="17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9"/>
  <dimension ref="A1:AK28"/>
  <sheetViews>
    <sheetView topLeftCell="B1" zoomScaleNormal="100" workbookViewId="0"/>
  </sheetViews>
  <sheetFormatPr defaultRowHeight="15" x14ac:dyDescent="0.25"/>
  <cols>
    <col min="2" max="6" width="6.5703125" customWidth="1"/>
    <col min="8" max="8" width="10.28515625" customWidth="1"/>
    <col min="15" max="15" width="3.42578125" customWidth="1"/>
    <col min="16" max="16" width="16.5703125" customWidth="1"/>
  </cols>
  <sheetData>
    <row r="1" spans="1:37" x14ac:dyDescent="0.25">
      <c r="A1" s="1" t="s">
        <v>293</v>
      </c>
      <c r="Y1" t="s">
        <v>567</v>
      </c>
      <c r="AF1" t="s">
        <v>568</v>
      </c>
    </row>
    <row r="3" spans="1:37" x14ac:dyDescent="0.25">
      <c r="A3" s="221" t="s">
        <v>2</v>
      </c>
      <c r="B3" s="12" t="s">
        <v>269</v>
      </c>
      <c r="C3" s="12" t="s">
        <v>270</v>
      </c>
      <c r="D3" s="12" t="s">
        <v>271</v>
      </c>
      <c r="E3" s="12" t="s">
        <v>272</v>
      </c>
      <c r="F3" s="12" t="s">
        <v>273</v>
      </c>
      <c r="H3" t="s">
        <v>12</v>
      </c>
      <c r="P3" t="s">
        <v>562</v>
      </c>
      <c r="Y3" s="221" t="s">
        <v>2</v>
      </c>
      <c r="Z3" s="12" t="s">
        <v>269</v>
      </c>
      <c r="AA3" s="12" t="s">
        <v>270</v>
      </c>
      <c r="AB3" s="12" t="s">
        <v>271</v>
      </c>
      <c r="AC3" s="12" t="s">
        <v>272</v>
      </c>
      <c r="AD3" s="12" t="s">
        <v>273</v>
      </c>
      <c r="AF3" t="e">
        <f t="array" aca="1" ref="AF3:AK24" ca="1">QSORTRows(Y3:AD24,1,TRUE)</f>
        <v>#NAME?</v>
      </c>
      <c r="AG3" t="e">
        <f ca="1"/>
        <v>#NAME?</v>
      </c>
      <c r="AH3" t="e">
        <f ca="1"/>
        <v>#NAME?</v>
      </c>
      <c r="AI3" t="e">
        <f ca="1"/>
        <v>#NAME?</v>
      </c>
      <c r="AJ3" t="e">
        <f ca="1"/>
        <v>#NAME?</v>
      </c>
      <c r="AK3" t="e">
        <f ca="1"/>
        <v>#NAME?</v>
      </c>
    </row>
    <row r="4" spans="1:37" x14ac:dyDescent="0.25">
      <c r="A4" s="102" t="s">
        <v>267</v>
      </c>
      <c r="B4" s="119">
        <v>250</v>
      </c>
      <c r="C4" s="120">
        <v>278</v>
      </c>
      <c r="D4" s="120">
        <v>442</v>
      </c>
      <c r="E4" s="120">
        <v>368</v>
      </c>
      <c r="F4" s="121">
        <v>456</v>
      </c>
      <c r="Y4" s="206" t="s">
        <v>267</v>
      </c>
      <c r="Z4" s="223">
        <v>230</v>
      </c>
      <c r="AA4" s="223">
        <v>306</v>
      </c>
      <c r="AB4" s="223">
        <v>432</v>
      </c>
      <c r="AC4" s="223">
        <v>386</v>
      </c>
      <c r="AD4" s="224">
        <v>423</v>
      </c>
      <c r="AF4" t="e">
        <f ca="1"/>
        <v>#NAME?</v>
      </c>
      <c r="AG4" s="207" t="e">
        <f ca="1"/>
        <v>#NAME?</v>
      </c>
      <c r="AH4" s="205" t="e">
        <f ca="1"/>
        <v>#NAME?</v>
      </c>
      <c r="AI4" s="205" t="e">
        <f ca="1"/>
        <v>#NAME?</v>
      </c>
      <c r="AJ4" s="205" t="e">
        <f ca="1"/>
        <v>#NAME?</v>
      </c>
      <c r="AK4" s="208" t="e">
        <f ca="1"/>
        <v>#NAME?</v>
      </c>
    </row>
    <row r="5" spans="1:37" ht="15.75" thickBot="1" x14ac:dyDescent="0.3">
      <c r="A5" s="107"/>
      <c r="B5" s="122">
        <v>65</v>
      </c>
      <c r="C5" s="123">
        <v>207</v>
      </c>
      <c r="D5" s="123">
        <v>341</v>
      </c>
      <c r="E5" s="123">
        <v>382</v>
      </c>
      <c r="F5" s="124">
        <v>298</v>
      </c>
      <c r="H5" t="s">
        <v>502</v>
      </c>
      <c r="I5" t="str">
        <f>IF(COUNTIF(I7:M9,I7)=COUNT(I7:M9),"balanced","unbalanced")</f>
        <v>balanced</v>
      </c>
      <c r="P5" t="s">
        <v>84</v>
      </c>
      <c r="T5" s="219" t="s">
        <v>17</v>
      </c>
      <c r="U5" s="219">
        <v>0.05</v>
      </c>
      <c r="Y5" s="78" t="s">
        <v>268</v>
      </c>
      <c r="Z5" s="123">
        <v>54</v>
      </c>
      <c r="AA5" s="123">
        <v>172</v>
      </c>
      <c r="AB5" s="123">
        <v>307</v>
      </c>
      <c r="AC5" s="123">
        <v>261</v>
      </c>
      <c r="AD5" s="124">
        <v>360</v>
      </c>
      <c r="AF5" t="e">
        <f ca="1"/>
        <v>#NAME?</v>
      </c>
      <c r="AG5" s="107" t="e">
        <f ca="1"/>
        <v>#NAME?</v>
      </c>
      <c r="AH5" s="7" t="e">
        <f ca="1"/>
        <v>#NAME?</v>
      </c>
      <c r="AI5" s="7" t="e">
        <f ca="1"/>
        <v>#NAME?</v>
      </c>
      <c r="AJ5" s="7" t="e">
        <f ca="1"/>
        <v>#NAME?</v>
      </c>
      <c r="AK5" s="108" t="e">
        <f ca="1"/>
        <v>#NAME?</v>
      </c>
    </row>
    <row r="6" spans="1:37" ht="15.75" thickTop="1" x14ac:dyDescent="0.25">
      <c r="A6" s="107"/>
      <c r="B6" s="122">
        <v>251</v>
      </c>
      <c r="C6" s="123">
        <v>261</v>
      </c>
      <c r="D6" s="123">
        <v>384</v>
      </c>
      <c r="E6" s="123">
        <v>421</v>
      </c>
      <c r="F6" s="124">
        <v>342</v>
      </c>
      <c r="I6" s="219" t="str">
        <f>B3</f>
        <v>Day 1</v>
      </c>
      <c r="J6" s="219" t="str">
        <f>C3</f>
        <v>Day 2</v>
      </c>
      <c r="K6" s="219" t="str">
        <f>D3</f>
        <v>Day 3</v>
      </c>
      <c r="L6" s="219" t="str">
        <f>E3</f>
        <v>Day 4</v>
      </c>
      <c r="M6" s="219" t="str">
        <f>F3</f>
        <v>Day 5</v>
      </c>
      <c r="P6" s="191"/>
      <c r="Q6" s="191" t="s">
        <v>76</v>
      </c>
      <c r="R6" s="191" t="s">
        <v>37</v>
      </c>
      <c r="S6" s="191" t="s">
        <v>78</v>
      </c>
      <c r="T6" s="191" t="s">
        <v>68</v>
      </c>
      <c r="U6" s="191" t="s">
        <v>101</v>
      </c>
      <c r="V6" s="191" t="s">
        <v>108</v>
      </c>
      <c r="Y6" s="78" t="s">
        <v>45</v>
      </c>
      <c r="Z6" s="123">
        <v>118</v>
      </c>
      <c r="AA6" s="123">
        <v>124</v>
      </c>
      <c r="AB6" s="123">
        <v>365</v>
      </c>
      <c r="AC6" s="123">
        <v>311</v>
      </c>
      <c r="AD6" s="124">
        <v>331</v>
      </c>
      <c r="AF6" t="e">
        <f ca="1"/>
        <v>#NAME?</v>
      </c>
      <c r="AG6" s="107" t="e">
        <f ca="1"/>
        <v>#NAME?</v>
      </c>
      <c r="AH6" s="7" t="e">
        <f ca="1"/>
        <v>#NAME?</v>
      </c>
      <c r="AI6" s="7" t="e">
        <f ca="1"/>
        <v>#NAME?</v>
      </c>
      <c r="AJ6" s="7" t="e">
        <f ca="1"/>
        <v>#NAME?</v>
      </c>
      <c r="AK6" s="108" t="e">
        <f ca="1"/>
        <v>#NAME?</v>
      </c>
    </row>
    <row r="7" spans="1:37" x14ac:dyDescent="0.25">
      <c r="A7" s="107"/>
      <c r="B7" s="122">
        <v>241</v>
      </c>
      <c r="C7" s="123">
        <v>314</v>
      </c>
      <c r="D7" s="123">
        <v>423</v>
      </c>
      <c r="E7" s="123">
        <v>415</v>
      </c>
      <c r="F7" s="124">
        <v>468</v>
      </c>
      <c r="H7" t="str">
        <f>A4</f>
        <v>Young</v>
      </c>
      <c r="I7" s="203">
        <f>COUNT(B4:B10)</f>
        <v>7</v>
      </c>
      <c r="J7" s="187">
        <f>COUNT(C4:C10)</f>
        <v>7</v>
      </c>
      <c r="K7" s="187">
        <f>COUNT(D4:D10)</f>
        <v>7</v>
      </c>
      <c r="L7" s="187">
        <f>COUNT(E4:E10)</f>
        <v>7</v>
      </c>
      <c r="M7" s="204">
        <f>COUNT(F4:F10)</f>
        <v>7</v>
      </c>
      <c r="N7">
        <f>COUNT(B4:F10)</f>
        <v>35</v>
      </c>
      <c r="P7" t="s">
        <v>259</v>
      </c>
      <c r="Q7" t="e">
        <f ca="1">DEVSQ(MEANROW(B4:F24))*(R11+1)</f>
        <v>#NAME?</v>
      </c>
      <c r="R7">
        <f>I10-1</f>
        <v>20</v>
      </c>
      <c r="Y7" s="78" t="s">
        <v>268</v>
      </c>
      <c r="Z7" s="123">
        <v>41</v>
      </c>
      <c r="AA7" s="123">
        <v>168</v>
      </c>
      <c r="AB7" s="123">
        <v>378</v>
      </c>
      <c r="AC7" s="123">
        <v>317</v>
      </c>
      <c r="AD7" s="124">
        <v>470</v>
      </c>
      <c r="AF7" t="e">
        <f ca="1"/>
        <v>#NAME?</v>
      </c>
      <c r="AG7" s="107" t="e">
        <f ca="1"/>
        <v>#NAME?</v>
      </c>
      <c r="AH7" s="7" t="e">
        <f ca="1"/>
        <v>#NAME?</v>
      </c>
      <c r="AI7" s="7" t="e">
        <f ca="1"/>
        <v>#NAME?</v>
      </c>
      <c r="AJ7" s="7" t="e">
        <f ca="1"/>
        <v>#NAME?</v>
      </c>
      <c r="AK7" s="108" t="e">
        <f ca="1"/>
        <v>#NAME?</v>
      </c>
    </row>
    <row r="8" spans="1:37" x14ac:dyDescent="0.25">
      <c r="A8" s="107"/>
      <c r="B8" s="122">
        <v>154</v>
      </c>
      <c r="C8" s="123">
        <v>167</v>
      </c>
      <c r="D8" s="123">
        <v>257</v>
      </c>
      <c r="E8" s="123">
        <v>275</v>
      </c>
      <c r="F8" s="124">
        <v>332</v>
      </c>
      <c r="H8" t="str">
        <f>A11</f>
        <v>Middle</v>
      </c>
      <c r="I8" s="76">
        <f>COUNT(B11:B17)</f>
        <v>7</v>
      </c>
      <c r="J8" s="7">
        <f>COUNT(C11:C17)</f>
        <v>7</v>
      </c>
      <c r="K8" s="7">
        <f>COUNT(D11:D17)</f>
        <v>7</v>
      </c>
      <c r="L8" s="7">
        <f>COUNT(E11:E17)</f>
        <v>7</v>
      </c>
      <c r="M8" s="35">
        <f>COUNT(F11:F17)</f>
        <v>7</v>
      </c>
      <c r="N8">
        <f>COUNT(B11:F17)</f>
        <v>35</v>
      </c>
      <c r="P8" t="s">
        <v>563</v>
      </c>
      <c r="Q8">
        <f>DEVSQ(N14:N16)*N7</f>
        <v>178358.1142857142</v>
      </c>
      <c r="R8">
        <f>COUNT(N14:N16)-1</f>
        <v>2</v>
      </c>
      <c r="S8">
        <f>Q8/R8</f>
        <v>89179.057142857098</v>
      </c>
      <c r="T8" t="e">
        <f ca="1">S8/S9</f>
        <v>#NAME?</v>
      </c>
      <c r="U8" t="e">
        <f ca="1">FDIST(T8,R8,R9)</f>
        <v>#NAME?</v>
      </c>
      <c r="V8">
        <f>FINV(U5,R8,R9)</f>
        <v>3.5545571456617879</v>
      </c>
      <c r="Y8" s="78" t="s">
        <v>45</v>
      </c>
      <c r="Z8" s="123">
        <v>83</v>
      </c>
      <c r="AA8" s="123">
        <v>266</v>
      </c>
      <c r="AB8" s="123">
        <v>382</v>
      </c>
      <c r="AC8" s="123">
        <v>369</v>
      </c>
      <c r="AD8" s="124">
        <v>295</v>
      </c>
      <c r="AF8" t="e">
        <f ca="1"/>
        <v>#NAME?</v>
      </c>
      <c r="AG8" s="107" t="e">
        <f ca="1"/>
        <v>#NAME?</v>
      </c>
      <c r="AH8" s="7" t="e">
        <f ca="1"/>
        <v>#NAME?</v>
      </c>
      <c r="AI8" s="7" t="e">
        <f ca="1"/>
        <v>#NAME?</v>
      </c>
      <c r="AJ8" s="7" t="e">
        <f ca="1"/>
        <v>#NAME?</v>
      </c>
      <c r="AK8" s="108" t="e">
        <f ca="1"/>
        <v>#NAME?</v>
      </c>
    </row>
    <row r="9" spans="1:37" x14ac:dyDescent="0.25">
      <c r="A9" s="107"/>
      <c r="B9" s="122">
        <v>103</v>
      </c>
      <c r="C9" s="123">
        <v>286</v>
      </c>
      <c r="D9" s="123">
        <v>401</v>
      </c>
      <c r="E9" s="123">
        <v>291</v>
      </c>
      <c r="F9" s="124">
        <v>367</v>
      </c>
      <c r="H9" t="str">
        <f>A18</f>
        <v>Old</v>
      </c>
      <c r="I9" s="182">
        <f>COUNT(B18:B24)</f>
        <v>7</v>
      </c>
      <c r="J9" s="183">
        <f>COUNT(C18:C24)</f>
        <v>7</v>
      </c>
      <c r="K9" s="183">
        <f>COUNT(D18:D24)</f>
        <v>7</v>
      </c>
      <c r="L9" s="183">
        <f>COUNT(E18:E24)</f>
        <v>7</v>
      </c>
      <c r="M9" s="184">
        <f>COUNT(F18:F24)</f>
        <v>7</v>
      </c>
      <c r="N9">
        <f>COUNT(B18:F24)</f>
        <v>35</v>
      </c>
      <c r="P9" t="s">
        <v>564</v>
      </c>
      <c r="Q9" t="e">
        <f ca="1">Q7-Q8</f>
        <v>#NAME?</v>
      </c>
      <c r="R9">
        <f>R7-R8</f>
        <v>18</v>
      </c>
      <c r="S9" t="e">
        <f ca="1">Q9/R9</f>
        <v>#NAME?</v>
      </c>
      <c r="Y9" s="78" t="s">
        <v>267</v>
      </c>
      <c r="Z9" s="123">
        <v>103</v>
      </c>
      <c r="AA9" s="123">
        <v>286</v>
      </c>
      <c r="AB9" s="123">
        <v>401</v>
      </c>
      <c r="AC9" s="123">
        <v>291</v>
      </c>
      <c r="AD9" s="124">
        <v>367</v>
      </c>
      <c r="AF9" t="e">
        <f ca="1"/>
        <v>#NAME?</v>
      </c>
      <c r="AG9" s="107" t="e">
        <f ca="1"/>
        <v>#NAME?</v>
      </c>
      <c r="AH9" s="7" t="e">
        <f ca="1"/>
        <v>#NAME?</v>
      </c>
      <c r="AI9" s="7" t="e">
        <f ca="1"/>
        <v>#NAME?</v>
      </c>
      <c r="AJ9" s="7" t="e">
        <f ca="1"/>
        <v>#NAME?</v>
      </c>
      <c r="AK9" s="108" t="e">
        <f ca="1"/>
        <v>#NAME?</v>
      </c>
    </row>
    <row r="10" spans="1:37" x14ac:dyDescent="0.25">
      <c r="A10" s="52"/>
      <c r="B10" s="125">
        <v>230</v>
      </c>
      <c r="C10" s="123">
        <v>306</v>
      </c>
      <c r="D10" s="126">
        <v>432</v>
      </c>
      <c r="E10" s="126">
        <v>386</v>
      </c>
      <c r="F10" s="127">
        <v>423</v>
      </c>
      <c r="I10">
        <f>COUNT(B4:B24)</f>
        <v>21</v>
      </c>
      <c r="J10">
        <f>COUNT(C4:C24)</f>
        <v>21</v>
      </c>
      <c r="K10">
        <f>COUNT(D4:D24)</f>
        <v>21</v>
      </c>
      <c r="L10">
        <f>COUNT(E4:E24)</f>
        <v>21</v>
      </c>
      <c r="M10">
        <f>COUNT(F4:F24)</f>
        <v>21</v>
      </c>
      <c r="N10">
        <f>COUNT(B4:F24)</f>
        <v>105</v>
      </c>
      <c r="P10" t="s">
        <v>261</v>
      </c>
      <c r="Q10" t="e">
        <f ca="1">Q14-Q7</f>
        <v>#NAME?</v>
      </c>
      <c r="R10">
        <f>R14-R7</f>
        <v>84</v>
      </c>
      <c r="Y10" s="78" t="s">
        <v>45</v>
      </c>
      <c r="Z10" s="123">
        <v>123</v>
      </c>
      <c r="AA10" s="123">
        <v>331</v>
      </c>
      <c r="AB10" s="123">
        <v>407</v>
      </c>
      <c r="AC10" s="123">
        <v>461</v>
      </c>
      <c r="AD10" s="124">
        <v>445</v>
      </c>
      <c r="AF10" t="e">
        <f ca="1"/>
        <v>#NAME?</v>
      </c>
      <c r="AG10" s="107" t="e">
        <f ca="1"/>
        <v>#NAME?</v>
      </c>
      <c r="AH10" s="7" t="e">
        <f ca="1"/>
        <v>#NAME?</v>
      </c>
      <c r="AI10" s="7" t="e">
        <f ca="1"/>
        <v>#NAME?</v>
      </c>
      <c r="AJ10" s="7" t="e">
        <f ca="1"/>
        <v>#NAME?</v>
      </c>
      <c r="AK10" s="108" t="e">
        <f ca="1"/>
        <v>#NAME?</v>
      </c>
    </row>
    <row r="11" spans="1:37" x14ac:dyDescent="0.25">
      <c r="A11" s="105" t="s">
        <v>268</v>
      </c>
      <c r="B11" s="119">
        <v>54</v>
      </c>
      <c r="C11" s="120">
        <v>172</v>
      </c>
      <c r="D11" s="120">
        <v>307</v>
      </c>
      <c r="E11" s="120">
        <v>261</v>
      </c>
      <c r="F11" s="121">
        <v>360</v>
      </c>
      <c r="P11" t="s">
        <v>565</v>
      </c>
      <c r="Q11">
        <f>DEVSQ(I17:M17)*I10</f>
        <v>1025800.3809523809</v>
      </c>
      <c r="R11">
        <f>COUNT(I17:M17)-1</f>
        <v>4</v>
      </c>
      <c r="S11">
        <f>Q11/R11</f>
        <v>256450.09523809524</v>
      </c>
      <c r="T11" t="e">
        <f ca="1">S11/S13</f>
        <v>#NAME?</v>
      </c>
      <c r="U11" t="e">
        <f ca="1">F_DIST_RT(T11,R11,R13)</f>
        <v>#NAME?</v>
      </c>
      <c r="V11" t="e">
        <f ca="1">F_INV_RT(U5,R11,R13)</f>
        <v>#NAME?</v>
      </c>
      <c r="Y11" s="78" t="s">
        <v>268</v>
      </c>
      <c r="Z11" s="123">
        <v>200</v>
      </c>
      <c r="AA11" s="123">
        <v>157</v>
      </c>
      <c r="AB11" s="123">
        <v>283</v>
      </c>
      <c r="AC11" s="123">
        <v>259</v>
      </c>
      <c r="AD11" s="124">
        <v>273</v>
      </c>
      <c r="AF11" t="e">
        <f ca="1"/>
        <v>#NAME?</v>
      </c>
      <c r="AG11" s="107" t="e">
        <f ca="1"/>
        <v>#NAME?</v>
      </c>
      <c r="AH11" s="7" t="e">
        <f ca="1"/>
        <v>#NAME?</v>
      </c>
      <c r="AI11" s="7" t="e">
        <f ca="1"/>
        <v>#NAME?</v>
      </c>
      <c r="AJ11" s="7" t="e">
        <f ca="1"/>
        <v>#NAME?</v>
      </c>
      <c r="AK11" s="108" t="e">
        <f ca="1"/>
        <v>#NAME?</v>
      </c>
    </row>
    <row r="12" spans="1:37" x14ac:dyDescent="0.25">
      <c r="A12" s="78"/>
      <c r="B12" s="122">
        <v>20</v>
      </c>
      <c r="C12" s="123">
        <v>116</v>
      </c>
      <c r="D12" s="123">
        <v>425</v>
      </c>
      <c r="E12" s="123">
        <v>398</v>
      </c>
      <c r="F12" s="124">
        <v>268</v>
      </c>
      <c r="H12" t="s">
        <v>125</v>
      </c>
      <c r="P12" t="s">
        <v>566</v>
      </c>
      <c r="Q12" t="e">
        <f ca="1">Q10-Q11-Q13</f>
        <v>#NAME?</v>
      </c>
      <c r="R12">
        <f>R8*R11</f>
        <v>8</v>
      </c>
      <c r="S12" t="e">
        <f ca="1">Q12/R12</f>
        <v>#NAME?</v>
      </c>
      <c r="T12" t="e">
        <f ca="1">S12/S13</f>
        <v>#NAME?</v>
      </c>
      <c r="U12" t="e">
        <f ca="1">F_DIST_RT(T12,R12,R13)</f>
        <v>#NAME?</v>
      </c>
      <c r="V12" t="e">
        <f ca="1">F_INV_RT(U5,R12,R13)</f>
        <v>#NAME?</v>
      </c>
      <c r="Y12" s="78" t="s">
        <v>267</v>
      </c>
      <c r="Z12" s="123">
        <v>251</v>
      </c>
      <c r="AA12" s="123">
        <v>261</v>
      </c>
      <c r="AB12" s="123">
        <v>384</v>
      </c>
      <c r="AC12" s="123">
        <v>421</v>
      </c>
      <c r="AD12" s="124">
        <v>342</v>
      </c>
      <c r="AF12" t="e">
        <f ca="1"/>
        <v>#NAME?</v>
      </c>
      <c r="AG12" s="107" t="e">
        <f ca="1"/>
        <v>#NAME?</v>
      </c>
      <c r="AH12" s="7" t="e">
        <f ca="1"/>
        <v>#NAME?</v>
      </c>
      <c r="AI12" s="7" t="e">
        <f ca="1"/>
        <v>#NAME?</v>
      </c>
      <c r="AJ12" s="7" t="e">
        <f ca="1"/>
        <v>#NAME?</v>
      </c>
      <c r="AK12" s="108" t="e">
        <f ca="1"/>
        <v>#NAME?</v>
      </c>
    </row>
    <row r="13" spans="1:37" x14ac:dyDescent="0.25">
      <c r="A13" s="78"/>
      <c r="B13" s="122">
        <v>41</v>
      </c>
      <c r="C13" s="123">
        <v>168</v>
      </c>
      <c r="D13" s="123">
        <v>378</v>
      </c>
      <c r="E13" s="123">
        <v>317</v>
      </c>
      <c r="F13" s="124">
        <v>470</v>
      </c>
      <c r="I13" s="219" t="str">
        <f>B3</f>
        <v>Day 1</v>
      </c>
      <c r="J13" s="219" t="str">
        <f>C3</f>
        <v>Day 2</v>
      </c>
      <c r="K13" s="219" t="str">
        <f>D3</f>
        <v>Day 3</v>
      </c>
      <c r="L13" s="219" t="str">
        <f>E3</f>
        <v>Day 4</v>
      </c>
      <c r="M13" s="219" t="str">
        <f>F3</f>
        <v>Day 5</v>
      </c>
      <c r="P13" t="s">
        <v>564</v>
      </c>
      <c r="Q13" t="e">
        <f ca="1">SUM(I21:M23)*(I7-1)-Q9</f>
        <v>#NAME?</v>
      </c>
      <c r="R13">
        <f>R10-R11-R12</f>
        <v>72</v>
      </c>
      <c r="S13" t="e">
        <f ca="1">Q13/R13</f>
        <v>#NAME?</v>
      </c>
      <c r="Y13" s="78" t="s">
        <v>45</v>
      </c>
      <c r="Z13" s="123">
        <v>71</v>
      </c>
      <c r="AA13" s="123">
        <v>285</v>
      </c>
      <c r="AB13" s="123">
        <v>471</v>
      </c>
      <c r="AC13" s="123">
        <v>407</v>
      </c>
      <c r="AD13" s="124">
        <v>433</v>
      </c>
      <c r="AF13" t="e">
        <f ca="1"/>
        <v>#NAME?</v>
      </c>
      <c r="AG13" s="107" t="e">
        <f ca="1"/>
        <v>#NAME?</v>
      </c>
      <c r="AH13" s="7" t="e">
        <f ca="1"/>
        <v>#NAME?</v>
      </c>
      <c r="AI13" s="7" t="e">
        <f ca="1"/>
        <v>#NAME?</v>
      </c>
      <c r="AJ13" s="7" t="e">
        <f ca="1"/>
        <v>#NAME?</v>
      </c>
      <c r="AK13" s="108" t="e">
        <f ca="1"/>
        <v>#NAME?</v>
      </c>
    </row>
    <row r="14" spans="1:37" x14ac:dyDescent="0.25">
      <c r="A14" s="78"/>
      <c r="B14" s="122">
        <v>200</v>
      </c>
      <c r="C14" s="123">
        <v>157</v>
      </c>
      <c r="D14" s="123">
        <v>283</v>
      </c>
      <c r="E14" s="123">
        <v>259</v>
      </c>
      <c r="F14" s="124">
        <v>273</v>
      </c>
      <c r="H14" t="str">
        <f>A4</f>
        <v>Young</v>
      </c>
      <c r="I14" s="203">
        <f>AVERAGE(B4:B10)</f>
        <v>184.85714285714286</v>
      </c>
      <c r="J14" s="187">
        <f>AVERAGE(C4:C10)</f>
        <v>259.85714285714283</v>
      </c>
      <c r="K14" s="187">
        <f>AVERAGE(D4:D10)</f>
        <v>382.85714285714283</v>
      </c>
      <c r="L14" s="187">
        <f>AVERAGE(E4:E10)</f>
        <v>362.57142857142856</v>
      </c>
      <c r="M14" s="204">
        <f>AVERAGE(F4:F10)</f>
        <v>383.71428571428572</v>
      </c>
      <c r="N14">
        <f>AVERAGE(B4:F10)</f>
        <v>314.77142857142854</v>
      </c>
      <c r="P14" s="185" t="s">
        <v>1</v>
      </c>
      <c r="Q14" s="185">
        <f>S14*R14</f>
        <v>1597343.4285714282</v>
      </c>
      <c r="R14" s="185">
        <f>N10-1</f>
        <v>104</v>
      </c>
      <c r="S14" s="185">
        <f>N24</f>
        <v>15359.071428571424</v>
      </c>
      <c r="T14" s="185"/>
      <c r="U14" s="185"/>
      <c r="V14" s="185"/>
      <c r="Y14" s="78" t="s">
        <v>268</v>
      </c>
      <c r="Z14" s="123">
        <v>3</v>
      </c>
      <c r="AA14" s="123">
        <v>54</v>
      </c>
      <c r="AB14" s="123">
        <v>285</v>
      </c>
      <c r="AC14" s="123">
        <v>216</v>
      </c>
      <c r="AD14" s="124">
        <v>245</v>
      </c>
      <c r="AF14" t="e">
        <f ca="1"/>
        <v>#NAME?</v>
      </c>
      <c r="AG14" s="107" t="e">
        <f ca="1"/>
        <v>#NAME?</v>
      </c>
      <c r="AH14" s="7" t="e">
        <f ca="1"/>
        <v>#NAME?</v>
      </c>
      <c r="AI14" s="7" t="e">
        <f ca="1"/>
        <v>#NAME?</v>
      </c>
      <c r="AJ14" s="7" t="e">
        <f ca="1"/>
        <v>#NAME?</v>
      </c>
      <c r="AK14" s="108" t="e">
        <f ca="1"/>
        <v>#NAME?</v>
      </c>
    </row>
    <row r="15" spans="1:37" x14ac:dyDescent="0.25">
      <c r="A15" s="78"/>
      <c r="B15" s="122">
        <v>34</v>
      </c>
      <c r="C15" s="123">
        <v>86</v>
      </c>
      <c r="D15" s="123">
        <v>351</v>
      </c>
      <c r="E15" s="123">
        <v>280</v>
      </c>
      <c r="F15" s="124">
        <v>320</v>
      </c>
      <c r="H15" t="str">
        <f>A11</f>
        <v>Middle</v>
      </c>
      <c r="I15" s="76">
        <f>AVERAGE(B11:B17)</f>
        <v>54.428571428571431</v>
      </c>
      <c r="J15" s="7">
        <f>AVERAGE(C11:C17)</f>
        <v>119.14285714285714</v>
      </c>
      <c r="K15" s="7">
        <f>AVERAGE(D11:D17)</f>
        <v>317.42857142857144</v>
      </c>
      <c r="L15" s="7">
        <f>AVERAGE(E11:E17)</f>
        <v>281.57142857142856</v>
      </c>
      <c r="M15" s="35">
        <f>AVERAGE(F11:F17)</f>
        <v>309.85714285714283</v>
      </c>
      <c r="N15">
        <f>AVERAGE(B11:F17)</f>
        <v>216.48571428571429</v>
      </c>
      <c r="Y15" s="78" t="s">
        <v>267</v>
      </c>
      <c r="Z15" s="123">
        <v>241</v>
      </c>
      <c r="AA15" s="123">
        <v>314</v>
      </c>
      <c r="AB15" s="123">
        <v>423</v>
      </c>
      <c r="AC15" s="123">
        <v>415</v>
      </c>
      <c r="AD15" s="124">
        <v>468</v>
      </c>
      <c r="AF15" t="e">
        <f ca="1"/>
        <v>#NAME?</v>
      </c>
      <c r="AG15" s="107" t="e">
        <f ca="1"/>
        <v>#NAME?</v>
      </c>
      <c r="AH15" s="7" t="e">
        <f ca="1"/>
        <v>#NAME?</v>
      </c>
      <c r="AI15" s="7" t="e">
        <f ca="1"/>
        <v>#NAME?</v>
      </c>
      <c r="AJ15" s="7" t="e">
        <f ca="1"/>
        <v>#NAME?</v>
      </c>
      <c r="AK15" s="108" t="e">
        <f ca="1"/>
        <v>#NAME?</v>
      </c>
    </row>
    <row r="16" spans="1:37" x14ac:dyDescent="0.25">
      <c r="A16" s="78"/>
      <c r="B16" s="122">
        <v>29</v>
      </c>
      <c r="C16" s="123">
        <v>81</v>
      </c>
      <c r="D16" s="123">
        <v>193</v>
      </c>
      <c r="E16" s="123">
        <v>240</v>
      </c>
      <c r="F16" s="124">
        <v>233</v>
      </c>
      <c r="H16" t="str">
        <f>A18</f>
        <v>Old</v>
      </c>
      <c r="I16" s="182">
        <f>AVERAGE(B18:B24)</f>
        <v>87.428571428571431</v>
      </c>
      <c r="J16" s="183">
        <f>AVERAGE(C18:C24)</f>
        <v>238.71428571428572</v>
      </c>
      <c r="K16" s="183">
        <f>AVERAGE(D18:D24)</f>
        <v>369.57142857142856</v>
      </c>
      <c r="L16" s="183">
        <f>AVERAGE(E18:E24)</f>
        <v>374.28571428571428</v>
      </c>
      <c r="M16" s="184">
        <f>AVERAGE(F18:F24)</f>
        <v>358</v>
      </c>
      <c r="N16">
        <f>AVERAGE(B18:F24)</f>
        <v>285.60000000000002</v>
      </c>
      <c r="Y16" s="78" t="s">
        <v>268</v>
      </c>
      <c r="Z16" s="123">
        <v>29</v>
      </c>
      <c r="AA16" s="123">
        <v>81</v>
      </c>
      <c r="AB16" s="123">
        <v>193</v>
      </c>
      <c r="AC16" s="123">
        <v>240</v>
      </c>
      <c r="AD16" s="124">
        <v>233</v>
      </c>
      <c r="AF16" t="e">
        <f ca="1"/>
        <v>#NAME?</v>
      </c>
      <c r="AG16" s="107" t="e">
        <f ca="1"/>
        <v>#NAME?</v>
      </c>
      <c r="AH16" s="7" t="e">
        <f ca="1"/>
        <v>#NAME?</v>
      </c>
      <c r="AI16" s="7" t="e">
        <f ca="1"/>
        <v>#NAME?</v>
      </c>
      <c r="AJ16" s="7" t="e">
        <f ca="1"/>
        <v>#NAME?</v>
      </c>
      <c r="AK16" s="108" t="e">
        <f ca="1"/>
        <v>#NAME?</v>
      </c>
    </row>
    <row r="17" spans="1:37" ht="15.75" thickBot="1" x14ac:dyDescent="0.3">
      <c r="A17" s="58"/>
      <c r="B17" s="125">
        <v>3</v>
      </c>
      <c r="C17" s="126">
        <v>54</v>
      </c>
      <c r="D17" s="126">
        <v>285</v>
      </c>
      <c r="E17" s="126">
        <v>216</v>
      </c>
      <c r="F17" s="127">
        <v>245</v>
      </c>
      <c r="I17">
        <f>AVERAGE(B4:B24)</f>
        <v>108.9047619047619</v>
      </c>
      <c r="J17">
        <f>AVERAGE(C4:C24)</f>
        <v>205.9047619047619</v>
      </c>
      <c r="K17">
        <f>AVERAGE(D4:D24)</f>
        <v>356.61904761904759</v>
      </c>
      <c r="L17">
        <f>AVERAGE(E4:E24)</f>
        <v>339.47619047619048</v>
      </c>
      <c r="M17">
        <f>AVERAGE(F4:F24)</f>
        <v>350.52380952380952</v>
      </c>
      <c r="N17">
        <f>AVERAGE(B4:F24)</f>
        <v>272.28571428571428</v>
      </c>
      <c r="P17" t="s">
        <v>160</v>
      </c>
      <c r="T17" t="s">
        <v>17</v>
      </c>
      <c r="U17">
        <v>0.05</v>
      </c>
      <c r="Y17" s="78" t="s">
        <v>45</v>
      </c>
      <c r="Z17" s="123">
        <v>38</v>
      </c>
      <c r="AA17" s="123">
        <v>207</v>
      </c>
      <c r="AB17" s="123">
        <v>289</v>
      </c>
      <c r="AC17" s="123">
        <v>385</v>
      </c>
      <c r="AD17" s="124">
        <v>373</v>
      </c>
      <c r="AF17" t="e">
        <f ca="1"/>
        <v>#NAME?</v>
      </c>
      <c r="AG17" s="107" t="e">
        <f ca="1"/>
        <v>#NAME?</v>
      </c>
      <c r="AH17" s="7" t="e">
        <f ca="1"/>
        <v>#NAME?</v>
      </c>
      <c r="AI17" s="7" t="e">
        <f ca="1"/>
        <v>#NAME?</v>
      </c>
      <c r="AJ17" s="7" t="e">
        <f ca="1"/>
        <v>#NAME?</v>
      </c>
      <c r="AK17" s="108" t="e">
        <f ca="1"/>
        <v>#NAME?</v>
      </c>
    </row>
    <row r="18" spans="1:37" ht="15.75" thickTop="1" x14ac:dyDescent="0.25">
      <c r="A18" s="105" t="s">
        <v>45</v>
      </c>
      <c r="B18" s="122">
        <v>118</v>
      </c>
      <c r="C18" s="123">
        <v>124</v>
      </c>
      <c r="D18" s="123">
        <v>365</v>
      </c>
      <c r="E18" s="123">
        <v>311</v>
      </c>
      <c r="F18" s="124">
        <v>331</v>
      </c>
      <c r="P18" s="191" t="s">
        <v>100</v>
      </c>
      <c r="Q18" s="191" t="s">
        <v>76</v>
      </c>
      <c r="R18" s="191" t="s">
        <v>37</v>
      </c>
      <c r="S18" s="191" t="s">
        <v>78</v>
      </c>
      <c r="T18" s="191" t="s">
        <v>68</v>
      </c>
      <c r="U18" s="191" t="s">
        <v>101</v>
      </c>
      <c r="V18" s="191" t="s">
        <v>102</v>
      </c>
      <c r="Y18" s="78" t="s">
        <v>268</v>
      </c>
      <c r="Z18" s="123">
        <v>20</v>
      </c>
      <c r="AA18" s="123">
        <v>116</v>
      </c>
      <c r="AB18" s="123">
        <v>425</v>
      </c>
      <c r="AC18" s="123">
        <v>398</v>
      </c>
      <c r="AD18" s="124">
        <v>268</v>
      </c>
      <c r="AF18" t="e">
        <f ca="1"/>
        <v>#NAME?</v>
      </c>
      <c r="AG18" s="107" t="e">
        <f ca="1"/>
        <v>#NAME?</v>
      </c>
      <c r="AH18" s="7" t="e">
        <f ca="1"/>
        <v>#NAME?</v>
      </c>
      <c r="AI18" s="7" t="e">
        <f ca="1"/>
        <v>#NAME?</v>
      </c>
      <c r="AJ18" s="7" t="e">
        <f ca="1"/>
        <v>#NAME?</v>
      </c>
      <c r="AK18" s="108" t="e">
        <f ca="1"/>
        <v>#NAME?</v>
      </c>
    </row>
    <row r="19" spans="1:37" x14ac:dyDescent="0.25">
      <c r="A19" s="78"/>
      <c r="B19" s="122">
        <v>83</v>
      </c>
      <c r="C19" s="123">
        <v>266</v>
      </c>
      <c r="D19" s="123">
        <v>382</v>
      </c>
      <c r="E19" s="123">
        <v>369</v>
      </c>
      <c r="F19" s="124">
        <v>295</v>
      </c>
      <c r="H19" t="s">
        <v>503</v>
      </c>
      <c r="P19" t="s">
        <v>123</v>
      </c>
      <c r="Q19">
        <f>Q11</f>
        <v>1025800.3809523809</v>
      </c>
      <c r="R19" t="e">
        <f ca="1">R11*I$26</f>
        <v>#NAME?</v>
      </c>
      <c r="S19" t="e">
        <f ca="1">Q19/R19</f>
        <v>#NAME?</v>
      </c>
      <c r="T19" t="e">
        <f ca="1">S19/S21</f>
        <v>#NAME?</v>
      </c>
      <c r="U19" t="e">
        <f ca="1">F_DIST_RT(T19,R19,R21)</f>
        <v>#NAME?</v>
      </c>
      <c r="V19" t="e">
        <f ca="1">F_INV_RT(U17,R19,R21)</f>
        <v>#NAME?</v>
      </c>
      <c r="Y19" s="78" t="s">
        <v>267</v>
      </c>
      <c r="Z19" s="123">
        <v>154</v>
      </c>
      <c r="AA19" s="123">
        <v>167</v>
      </c>
      <c r="AB19" s="123">
        <v>257</v>
      </c>
      <c r="AC19" s="123">
        <v>275</v>
      </c>
      <c r="AD19" s="124">
        <v>332</v>
      </c>
      <c r="AF19" t="e">
        <f ca="1"/>
        <v>#NAME?</v>
      </c>
      <c r="AG19" s="107" t="e">
        <f ca="1"/>
        <v>#NAME?</v>
      </c>
      <c r="AH19" s="7" t="e">
        <f ca="1"/>
        <v>#NAME?</v>
      </c>
      <c r="AI19" s="7" t="e">
        <f ca="1"/>
        <v>#NAME?</v>
      </c>
      <c r="AJ19" s="7" t="e">
        <f ca="1"/>
        <v>#NAME?</v>
      </c>
      <c r="AK19" s="108" t="e">
        <f ca="1"/>
        <v>#NAME?</v>
      </c>
    </row>
    <row r="20" spans="1:37" x14ac:dyDescent="0.25">
      <c r="A20" s="78"/>
      <c r="B20" s="122">
        <v>38</v>
      </c>
      <c r="C20" s="123">
        <v>207</v>
      </c>
      <c r="D20" s="123">
        <v>289</v>
      </c>
      <c r="E20" s="123">
        <v>385</v>
      </c>
      <c r="F20" s="124">
        <v>373</v>
      </c>
      <c r="I20" s="219" t="str">
        <f>B3</f>
        <v>Day 1</v>
      </c>
      <c r="J20" s="219" t="str">
        <f>C3</f>
        <v>Day 2</v>
      </c>
      <c r="K20" s="219" t="str">
        <f>D3</f>
        <v>Day 3</v>
      </c>
      <c r="L20" s="219" t="str">
        <f>E3</f>
        <v>Day 4</v>
      </c>
      <c r="M20" s="219" t="str">
        <f>F3</f>
        <v>Day 5</v>
      </c>
      <c r="P20" t="s">
        <v>97</v>
      </c>
      <c r="Q20" t="e">
        <f ca="1">Q12</f>
        <v>#NAME?</v>
      </c>
      <c r="R20" t="e">
        <f ca="1">R12*I$26</f>
        <v>#NAME?</v>
      </c>
      <c r="S20" t="e">
        <f ca="1">Q20/R20</f>
        <v>#NAME?</v>
      </c>
      <c r="T20" t="e">
        <f ca="1">S20/S21</f>
        <v>#NAME?</v>
      </c>
      <c r="U20" t="e">
        <f ca="1">F_DIST_RT(T20,R20,R21)</f>
        <v>#NAME?</v>
      </c>
      <c r="V20" t="e">
        <f ca="1">F_INV_RT(U17,R20,R21)</f>
        <v>#NAME?</v>
      </c>
      <c r="Y20" s="78" t="s">
        <v>268</v>
      </c>
      <c r="Z20" s="123">
        <v>34</v>
      </c>
      <c r="AA20" s="123">
        <v>86</v>
      </c>
      <c r="AB20" s="123">
        <v>351</v>
      </c>
      <c r="AC20" s="123">
        <v>280</v>
      </c>
      <c r="AD20" s="124">
        <v>320</v>
      </c>
      <c r="AF20" t="e">
        <f ca="1"/>
        <v>#NAME?</v>
      </c>
      <c r="AG20" s="107" t="e">
        <f ca="1"/>
        <v>#NAME?</v>
      </c>
      <c r="AH20" s="7" t="e">
        <f ca="1"/>
        <v>#NAME?</v>
      </c>
      <c r="AI20" s="7" t="e">
        <f ca="1"/>
        <v>#NAME?</v>
      </c>
      <c r="AJ20" s="7" t="e">
        <f ca="1"/>
        <v>#NAME?</v>
      </c>
      <c r="AK20" s="108" t="e">
        <f ca="1"/>
        <v>#NAME?</v>
      </c>
    </row>
    <row r="21" spans="1:37" x14ac:dyDescent="0.25">
      <c r="A21" s="78"/>
      <c r="B21" s="122">
        <v>71</v>
      </c>
      <c r="C21" s="123">
        <v>211</v>
      </c>
      <c r="D21" s="123">
        <v>356</v>
      </c>
      <c r="E21" s="123">
        <v>380</v>
      </c>
      <c r="F21" s="124">
        <v>305</v>
      </c>
      <c r="H21" t="str">
        <f>A4</f>
        <v>Young</v>
      </c>
      <c r="I21" s="203">
        <f>VAR(B4:B10)</f>
        <v>5971.1428571428551</v>
      </c>
      <c r="J21" s="187">
        <f>VAR(C4:C10)</f>
        <v>2915.1428571428601</v>
      </c>
      <c r="K21" s="187">
        <f>VAR(D4:D10)</f>
        <v>4241.1428571428596</v>
      </c>
      <c r="L21" s="187">
        <f>VAR(E4:E10)</f>
        <v>3318.2857142857197</v>
      </c>
      <c r="M21" s="204">
        <f>VAR(F4:F10)</f>
        <v>4318.9047619047533</v>
      </c>
      <c r="N21">
        <f>VAR(B4:F10)</f>
        <v>10163.416806722689</v>
      </c>
      <c r="P21" t="s">
        <v>122</v>
      </c>
      <c r="Q21" t="e">
        <f ca="1">Q13</f>
        <v>#NAME?</v>
      </c>
      <c r="R21" t="e">
        <f ca="1">R13*I$26</f>
        <v>#NAME?</v>
      </c>
      <c r="S21" t="e">
        <f ca="1">Q21/R21</f>
        <v>#NAME?</v>
      </c>
      <c r="Y21" s="78" t="s">
        <v>45</v>
      </c>
      <c r="Z21" s="123">
        <v>108</v>
      </c>
      <c r="AA21" s="123">
        <v>247</v>
      </c>
      <c r="AB21" s="123">
        <v>317</v>
      </c>
      <c r="AC21" s="123">
        <v>307</v>
      </c>
      <c r="AD21" s="124">
        <v>324</v>
      </c>
      <c r="AF21" t="e">
        <f ca="1"/>
        <v>#NAME?</v>
      </c>
      <c r="AG21" s="107" t="e">
        <f ca="1"/>
        <v>#NAME?</v>
      </c>
      <c r="AH21" s="7" t="e">
        <f ca="1"/>
        <v>#NAME?</v>
      </c>
      <c r="AI21" s="7" t="e">
        <f ca="1"/>
        <v>#NAME?</v>
      </c>
      <c r="AJ21" s="7" t="e">
        <f ca="1"/>
        <v>#NAME?</v>
      </c>
      <c r="AK21" s="108" t="e">
        <f ca="1"/>
        <v>#NAME?</v>
      </c>
    </row>
    <row r="22" spans="1:37" x14ac:dyDescent="0.25">
      <c r="A22" s="78"/>
      <c r="B22" s="122">
        <v>123</v>
      </c>
      <c r="C22" s="123">
        <v>331</v>
      </c>
      <c r="D22" s="123">
        <v>407</v>
      </c>
      <c r="E22" s="123">
        <v>461</v>
      </c>
      <c r="F22" s="124">
        <v>445</v>
      </c>
      <c r="H22" t="str">
        <f>A11</f>
        <v>Middle</v>
      </c>
      <c r="I22" s="76">
        <f>VAR(B11:B17)</f>
        <v>4377.6190476190477</v>
      </c>
      <c r="J22" s="7">
        <f>VAR(C11:C17)</f>
        <v>2236.8095238095243</v>
      </c>
      <c r="K22" s="7">
        <f>VAR(D11:D17)</f>
        <v>5699.2857142857201</v>
      </c>
      <c r="L22" s="7">
        <f>VAR(E11:E17)</f>
        <v>3628.9523809523866</v>
      </c>
      <c r="M22" s="35">
        <f>VAR(F11:F17)</f>
        <v>6914.4761904761936</v>
      </c>
      <c r="N22">
        <f>VAR(B11:F17)</f>
        <v>16156.374789915964</v>
      </c>
      <c r="P22" s="205"/>
      <c r="Q22" s="205"/>
      <c r="R22" s="205"/>
      <c r="S22" s="205"/>
      <c r="T22" s="205"/>
      <c r="U22" s="205"/>
      <c r="V22" s="205"/>
      <c r="Y22" s="78" t="s">
        <v>267</v>
      </c>
      <c r="Z22" s="123">
        <v>250</v>
      </c>
      <c r="AA22" s="123">
        <v>278</v>
      </c>
      <c r="AB22" s="123">
        <v>442</v>
      </c>
      <c r="AC22" s="123">
        <v>368</v>
      </c>
      <c r="AD22" s="124">
        <v>456</v>
      </c>
      <c r="AF22" t="e">
        <f ca="1"/>
        <v>#NAME?</v>
      </c>
      <c r="AG22" s="107" t="e">
        <f ca="1"/>
        <v>#NAME?</v>
      </c>
      <c r="AH22" s="7" t="e">
        <f ca="1"/>
        <v>#NAME?</v>
      </c>
      <c r="AI22" s="7" t="e">
        <f ca="1"/>
        <v>#NAME?</v>
      </c>
      <c r="AJ22" s="7" t="e">
        <f ca="1"/>
        <v>#NAME?</v>
      </c>
      <c r="AK22" s="108" t="e">
        <f ca="1"/>
        <v>#NAME?</v>
      </c>
    </row>
    <row r="23" spans="1:37" ht="15.75" thickBot="1" x14ac:dyDescent="0.3">
      <c r="A23" s="78"/>
      <c r="B23" s="122">
        <v>71</v>
      </c>
      <c r="C23" s="123">
        <v>285</v>
      </c>
      <c r="D23" s="123">
        <v>471</v>
      </c>
      <c r="E23" s="123">
        <v>407</v>
      </c>
      <c r="F23" s="124">
        <v>433</v>
      </c>
      <c r="H23" t="str">
        <f>A18</f>
        <v>Old</v>
      </c>
      <c r="I23" s="182">
        <f>VAR(B18:B24)</f>
        <v>937.61904761904714</v>
      </c>
      <c r="J23" s="183">
        <f>VAR(C18:C24)</f>
        <v>4400.9047619047633</v>
      </c>
      <c r="K23" s="183">
        <f>VAR(D18:D24)</f>
        <v>3550.6190476190532</v>
      </c>
      <c r="L23" s="183">
        <f>VAR(E18:E24)</f>
        <v>2882.9047619047537</v>
      </c>
      <c r="M23" s="184">
        <f>VAR(F18:F24)</f>
        <v>3680.3333333333335</v>
      </c>
      <c r="N23">
        <f>VAR(B18:F24)</f>
        <v>15415.070588235292</v>
      </c>
      <c r="P23" t="s">
        <v>161</v>
      </c>
      <c r="T23" t="s">
        <v>17</v>
      </c>
      <c r="U23">
        <v>0.05</v>
      </c>
      <c r="Y23" s="78" t="s">
        <v>267</v>
      </c>
      <c r="Z23" s="123">
        <v>65</v>
      </c>
      <c r="AA23" s="123">
        <v>207</v>
      </c>
      <c r="AB23" s="123">
        <v>341</v>
      </c>
      <c r="AC23" s="123">
        <v>382</v>
      </c>
      <c r="AD23" s="124">
        <v>298</v>
      </c>
      <c r="AF23" t="e">
        <f ca="1"/>
        <v>#NAME?</v>
      </c>
      <c r="AG23" s="107" t="e">
        <f ca="1"/>
        <v>#NAME?</v>
      </c>
      <c r="AH23" s="7" t="e">
        <f ca="1"/>
        <v>#NAME?</v>
      </c>
      <c r="AI23" s="7" t="e">
        <f ca="1"/>
        <v>#NAME?</v>
      </c>
      <c r="AJ23" s="7" t="e">
        <f ca="1"/>
        <v>#NAME?</v>
      </c>
      <c r="AK23" s="108" t="e">
        <f ca="1"/>
        <v>#NAME?</v>
      </c>
    </row>
    <row r="24" spans="1:37" ht="15.75" thickTop="1" x14ac:dyDescent="0.25">
      <c r="A24" s="58"/>
      <c r="B24" s="125">
        <v>108</v>
      </c>
      <c r="C24" s="126">
        <v>247</v>
      </c>
      <c r="D24" s="126">
        <v>317</v>
      </c>
      <c r="E24" s="126">
        <v>307</v>
      </c>
      <c r="F24" s="127">
        <v>324</v>
      </c>
      <c r="I24">
        <f>VAR(B4:B24)</f>
        <v>6605.0904761904767</v>
      </c>
      <c r="J24">
        <f>VAR(C4:C24)</f>
        <v>6896.0904761904731</v>
      </c>
      <c r="K24">
        <f>VAR(D4:D24)</f>
        <v>4884.5476190476211</v>
      </c>
      <c r="L24">
        <f>VAR(E4:E24)</f>
        <v>4733.361904761894</v>
      </c>
      <c r="M24">
        <f>VAR(F4:F24)</f>
        <v>5458.0619047618939</v>
      </c>
      <c r="N24">
        <f>VAR(B4:F24)</f>
        <v>15359.071428571424</v>
      </c>
      <c r="P24" s="191" t="s">
        <v>100</v>
      </c>
      <c r="Q24" s="191" t="s">
        <v>76</v>
      </c>
      <c r="R24" s="191" t="s">
        <v>37</v>
      </c>
      <c r="S24" s="191" t="s">
        <v>78</v>
      </c>
      <c r="T24" s="191" t="s">
        <v>68</v>
      </c>
      <c r="U24" s="191" t="s">
        <v>101</v>
      </c>
      <c r="V24" s="191" t="s">
        <v>102</v>
      </c>
      <c r="Y24" s="58" t="s">
        <v>45</v>
      </c>
      <c r="Z24" s="225">
        <v>71</v>
      </c>
      <c r="AA24" s="225">
        <v>211</v>
      </c>
      <c r="AB24" s="225">
        <v>356</v>
      </c>
      <c r="AC24" s="225">
        <v>380</v>
      </c>
      <c r="AD24" s="127">
        <v>305</v>
      </c>
      <c r="AF24" t="e">
        <f ca="1"/>
        <v>#NAME?</v>
      </c>
      <c r="AG24" s="52" t="e">
        <f ca="1"/>
        <v>#NAME?</v>
      </c>
      <c r="AH24" s="185" t="e">
        <f ca="1"/>
        <v>#NAME?</v>
      </c>
      <c r="AI24" s="185" t="e">
        <f ca="1"/>
        <v>#NAME?</v>
      </c>
      <c r="AJ24" s="185" t="e">
        <f ca="1"/>
        <v>#NAME?</v>
      </c>
      <c r="AK24" s="56" t="e">
        <f ca="1"/>
        <v>#NAME?</v>
      </c>
    </row>
    <row r="25" spans="1:37" x14ac:dyDescent="0.25">
      <c r="P25" t="s">
        <v>123</v>
      </c>
      <c r="Q25">
        <f>Q11</f>
        <v>1025800.3809523809</v>
      </c>
      <c r="R25" t="e">
        <f ca="1">R11*I$27</f>
        <v>#NAME?</v>
      </c>
      <c r="S25" t="e">
        <f ca="1">Q25/R25</f>
        <v>#NAME?</v>
      </c>
      <c r="T25" t="e">
        <f ca="1">S25/S27</f>
        <v>#NAME?</v>
      </c>
      <c r="U25" t="e">
        <f ca="1">F_DIST_RT(T25,R25,R27)</f>
        <v>#NAME?</v>
      </c>
      <c r="V25" t="e">
        <f ca="1">F_INV_RT(U23,R25,R27)</f>
        <v>#NAME?</v>
      </c>
    </row>
    <row r="26" spans="1:37" x14ac:dyDescent="0.25">
      <c r="H26" t="s">
        <v>560</v>
      </c>
      <c r="I26" s="216" t="e">
        <f ca="1">GGEpsilon(B4:F24,R8+1)</f>
        <v>#NAME?</v>
      </c>
      <c r="P26" t="s">
        <v>97</v>
      </c>
      <c r="Q26" t="e">
        <f ca="1">Q12</f>
        <v>#NAME?</v>
      </c>
      <c r="R26" t="e">
        <f ca="1">R12*I$27</f>
        <v>#NAME?</v>
      </c>
      <c r="S26" t="e">
        <f ca="1">Q26/R26</f>
        <v>#NAME?</v>
      </c>
      <c r="T26" t="e">
        <f ca="1">S26/S27</f>
        <v>#NAME?</v>
      </c>
      <c r="U26" t="e">
        <f ca="1">F_DIST_RT(T26,R26,R27)</f>
        <v>#NAME?</v>
      </c>
      <c r="V26" t="e">
        <f ca="1">F_INV_RT(U23,R26,R27)</f>
        <v>#NAME?</v>
      </c>
    </row>
    <row r="27" spans="1:37" x14ac:dyDescent="0.25">
      <c r="H27" t="s">
        <v>561</v>
      </c>
      <c r="I27" s="180" t="e">
        <f ca="1">HFEpsilon(B4:F24,R8+1)</f>
        <v>#NAME?</v>
      </c>
      <c r="P27" t="s">
        <v>122</v>
      </c>
      <c r="Q27" t="e">
        <f ca="1">Q13</f>
        <v>#NAME?</v>
      </c>
      <c r="R27" t="e">
        <f ca="1">R13*I$27</f>
        <v>#NAME?</v>
      </c>
      <c r="S27" t="e">
        <f ca="1">Q27/R27</f>
        <v>#NAME?</v>
      </c>
    </row>
    <row r="28" spans="1:37" x14ac:dyDescent="0.25">
      <c r="P28" s="205"/>
      <c r="Q28" s="205"/>
      <c r="R28" s="205"/>
      <c r="S28" s="205"/>
      <c r="T28" s="205"/>
      <c r="U28" s="205"/>
      <c r="V28" s="205"/>
    </row>
  </sheetData>
  <pageMargins left="0.7" right="0.7" top="0.75" bottom="0.75" header="0.3" footer="0.3"/>
  <ignoredErrors>
    <ignoredError sqref="I7:M9 I14:M16 I21:M23" formulaRange="1"/>
  </ignoredError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4"/>
  <dimension ref="A1:V33"/>
  <sheetViews>
    <sheetView zoomScaleNormal="100" workbookViewId="0"/>
  </sheetViews>
  <sheetFormatPr defaultRowHeight="15" x14ac:dyDescent="0.25"/>
  <cols>
    <col min="6" max="6" width="6.28515625" customWidth="1"/>
    <col min="12" max="12" width="6.28515625" customWidth="1"/>
    <col min="13" max="14" width="10.85546875" customWidth="1"/>
    <col min="15" max="15" width="6.42578125" customWidth="1"/>
    <col min="16" max="21" width="10.85546875" customWidth="1"/>
    <col min="22" max="22" width="10.42578125" customWidth="1"/>
  </cols>
  <sheetData>
    <row r="1" spans="1:22" x14ac:dyDescent="0.25">
      <c r="A1" s="1" t="s">
        <v>313</v>
      </c>
    </row>
    <row r="3" spans="1:22" x14ac:dyDescent="0.25">
      <c r="A3" t="s">
        <v>267</v>
      </c>
      <c r="G3" t="s">
        <v>45</v>
      </c>
      <c r="M3" t="s">
        <v>313</v>
      </c>
      <c r="Q3" s="176" t="s">
        <v>492</v>
      </c>
      <c r="R3" s="176" t="s">
        <v>489</v>
      </c>
      <c r="S3" s="176" t="s">
        <v>490</v>
      </c>
      <c r="T3" s="176" t="s">
        <v>317</v>
      </c>
      <c r="U3" s="176" t="s">
        <v>318</v>
      </c>
      <c r="V3" s="176" t="s">
        <v>491</v>
      </c>
    </row>
    <row r="4" spans="1:22" x14ac:dyDescent="0.25">
      <c r="P4" t="s">
        <v>267</v>
      </c>
      <c r="Q4" s="32">
        <f>'ANOVA Match 2.3'!L5-1</f>
        <v>6</v>
      </c>
      <c r="R4" s="4">
        <f>1/Q4</f>
        <v>0.16666666666666666</v>
      </c>
      <c r="S4" s="4">
        <f>R4^2</f>
        <v>2.7777777777777776E-2</v>
      </c>
      <c r="T4" s="4" t="e">
        <f ca="1">MDETERM(A5:E9)</f>
        <v>#NAME?</v>
      </c>
      <c r="U4" s="4" t="e">
        <f ca="1">LN(T4)</f>
        <v>#NAME?</v>
      </c>
      <c r="V4" s="4" t="e">
        <f ca="1">U4*Q4</f>
        <v>#NAME?</v>
      </c>
    </row>
    <row r="5" spans="1:22" x14ac:dyDescent="0.25">
      <c r="A5" s="61" t="e">
        <f t="array" aca="1" ref="A5:E9" ca="1">COV('ANOVA Match 2.3'!B4:F10)</f>
        <v>#NAME?</v>
      </c>
      <c r="B5" s="117" t="e">
        <f ca="1"/>
        <v>#NAME?</v>
      </c>
      <c r="C5" s="117" t="e">
        <f ca="1"/>
        <v>#NAME?</v>
      </c>
      <c r="D5" s="117" t="e">
        <f ca="1"/>
        <v>#NAME?</v>
      </c>
      <c r="E5" s="118" t="e">
        <f ca="1"/>
        <v>#NAME?</v>
      </c>
      <c r="F5" s="7"/>
      <c r="G5" s="61" t="e">
        <f t="array" aca="1" ref="G5:K9" ca="1">COV('ANOVA Match 2.3'!B18:F24)</f>
        <v>#NAME?</v>
      </c>
      <c r="H5" s="117" t="e">
        <f ca="1"/>
        <v>#NAME?</v>
      </c>
      <c r="I5" s="117" t="e">
        <f ca="1"/>
        <v>#NAME?</v>
      </c>
      <c r="J5" s="117" t="e">
        <f ca="1"/>
        <v>#NAME?</v>
      </c>
      <c r="K5" s="118" t="e">
        <f ca="1"/>
        <v>#NAME?</v>
      </c>
      <c r="M5" t="s">
        <v>34</v>
      </c>
      <c r="N5" s="171">
        <f>'ANOVA Match 2.3'!K5</f>
        <v>5</v>
      </c>
      <c r="P5" t="s">
        <v>268</v>
      </c>
      <c r="Q5" s="178">
        <f>Q4</f>
        <v>6</v>
      </c>
      <c r="R5" s="7">
        <f>1/Q5</f>
        <v>0.16666666666666666</v>
      </c>
      <c r="S5" s="7">
        <f>R5^2</f>
        <v>2.7777777777777776E-2</v>
      </c>
      <c r="T5" s="7" t="e">
        <f ca="1">MDETERM(A13:E17)</f>
        <v>#NAME?</v>
      </c>
      <c r="U5" s="7" t="e">
        <f ca="1">LN(T5)</f>
        <v>#NAME?</v>
      </c>
      <c r="V5" s="7" t="e">
        <f ca="1">U5*Q5</f>
        <v>#NAME?</v>
      </c>
    </row>
    <row r="6" spans="1:22" x14ac:dyDescent="0.25">
      <c r="A6" s="107" t="e">
        <f ca="1"/>
        <v>#NAME?</v>
      </c>
      <c r="B6" s="7" t="e">
        <f ca="1"/>
        <v>#NAME?</v>
      </c>
      <c r="C6" s="7" t="e">
        <f ca="1"/>
        <v>#NAME?</v>
      </c>
      <c r="D6" s="7" t="e">
        <f ca="1"/>
        <v>#NAME?</v>
      </c>
      <c r="E6" s="108" t="e">
        <f ca="1"/>
        <v>#NAME?</v>
      </c>
      <c r="F6" s="7"/>
      <c r="G6" s="107" t="e">
        <f ca="1"/>
        <v>#NAME?</v>
      </c>
      <c r="H6" s="7" t="e">
        <f ca="1"/>
        <v>#NAME?</v>
      </c>
      <c r="I6" s="7" t="e">
        <f ca="1"/>
        <v>#NAME?</v>
      </c>
      <c r="J6" s="7" t="e">
        <f ca="1"/>
        <v>#NAME?</v>
      </c>
      <c r="K6" s="108" t="e">
        <f ca="1"/>
        <v>#NAME?</v>
      </c>
      <c r="M6" t="s">
        <v>120</v>
      </c>
      <c r="N6" s="58">
        <f>'ANOVA Match 2.3'!J5</f>
        <v>3</v>
      </c>
      <c r="P6" t="s">
        <v>45</v>
      </c>
      <c r="Q6" s="178">
        <f>Q4</f>
        <v>6</v>
      </c>
      <c r="R6" s="7">
        <f>1/Q6</f>
        <v>0.16666666666666666</v>
      </c>
      <c r="S6" s="7">
        <f>R6^2</f>
        <v>2.7777777777777776E-2</v>
      </c>
      <c r="T6" s="7" t="e">
        <f ca="1">MDETERM(G5:K9)</f>
        <v>#NAME?</v>
      </c>
      <c r="U6" s="7" t="e">
        <f ca="1">LN(T6)</f>
        <v>#NAME?</v>
      </c>
      <c r="V6" s="7" t="e">
        <f ca="1">U6*Q6</f>
        <v>#NAME?</v>
      </c>
    </row>
    <row r="7" spans="1:22" x14ac:dyDescent="0.25">
      <c r="A7" s="107" t="e">
        <f ca="1"/>
        <v>#NAME?</v>
      </c>
      <c r="B7" s="7" t="e">
        <f ca="1"/>
        <v>#NAME?</v>
      </c>
      <c r="C7" s="7" t="e">
        <f ca="1"/>
        <v>#NAME?</v>
      </c>
      <c r="D7" s="7" t="e">
        <f ca="1"/>
        <v>#NAME?</v>
      </c>
      <c r="E7" s="108" t="e">
        <f ca="1"/>
        <v>#NAME?</v>
      </c>
      <c r="F7" s="7"/>
      <c r="G7" s="107" t="e">
        <f ca="1"/>
        <v>#NAME?</v>
      </c>
      <c r="H7" s="7" t="e">
        <f ca="1"/>
        <v>#NAME?</v>
      </c>
      <c r="I7" s="7" t="e">
        <f ca="1"/>
        <v>#NAME?</v>
      </c>
      <c r="J7" s="7" t="e">
        <f ca="1"/>
        <v>#NAME?</v>
      </c>
      <c r="K7" s="108" t="e">
        <f ca="1"/>
        <v>#NAME?</v>
      </c>
      <c r="P7" t="s">
        <v>50</v>
      </c>
      <c r="Q7" s="177">
        <f>SUM(Q4:Q6)</f>
        <v>18</v>
      </c>
      <c r="R7" s="53">
        <f>1/Q7</f>
        <v>5.5555555555555552E-2</v>
      </c>
      <c r="S7" s="53">
        <f>R7^2</f>
        <v>3.0864197530864196E-3</v>
      </c>
      <c r="T7" s="53" t="e">
        <f ca="1">MDETERM(G13:K17)</f>
        <v>#NAME?</v>
      </c>
      <c r="U7" s="53" t="e">
        <f ca="1">LN(T7)</f>
        <v>#NAME?</v>
      </c>
      <c r="V7" s="53" t="e">
        <f ca="1">U7*Q7</f>
        <v>#NAME?</v>
      </c>
    </row>
    <row r="8" spans="1:22" x14ac:dyDescent="0.25">
      <c r="A8" s="107" t="e">
        <f ca="1"/>
        <v>#NAME?</v>
      </c>
      <c r="B8" s="7" t="e">
        <f ca="1"/>
        <v>#NAME?</v>
      </c>
      <c r="C8" s="7" t="e">
        <f ca="1"/>
        <v>#NAME?</v>
      </c>
      <c r="D8" s="7" t="e">
        <f ca="1"/>
        <v>#NAME?</v>
      </c>
      <c r="E8" s="108" t="e">
        <f ca="1"/>
        <v>#NAME?</v>
      </c>
      <c r="F8" s="7"/>
      <c r="G8" s="107" t="e">
        <f ca="1"/>
        <v>#NAME?</v>
      </c>
      <c r="H8" s="7" t="e">
        <f ca="1"/>
        <v>#NAME?</v>
      </c>
      <c r="I8" s="7" t="e">
        <f ca="1"/>
        <v>#NAME?</v>
      </c>
      <c r="J8" s="7" t="e">
        <f ca="1"/>
        <v>#NAME?</v>
      </c>
      <c r="K8" s="108" t="e">
        <f ca="1"/>
        <v>#NAME?</v>
      </c>
      <c r="P8" t="s">
        <v>182</v>
      </c>
      <c r="R8">
        <f>SUM(R4:R6)-R7</f>
        <v>0.44444444444444442</v>
      </c>
      <c r="S8">
        <f>SUM(S4:S6)-S7</f>
        <v>8.0246913580246909E-2</v>
      </c>
      <c r="V8" s="7" t="e">
        <f ca="1">V7-SUM(V4:V6)</f>
        <v>#NAME?</v>
      </c>
    </row>
    <row r="9" spans="1:22" x14ac:dyDescent="0.25">
      <c r="A9" s="52" t="e">
        <f ca="1"/>
        <v>#NAME?</v>
      </c>
      <c r="B9" s="53" t="e">
        <f ca="1"/>
        <v>#NAME?</v>
      </c>
      <c r="C9" s="53" t="e">
        <f ca="1"/>
        <v>#NAME?</v>
      </c>
      <c r="D9" s="53" t="e">
        <f ca="1"/>
        <v>#NAME?</v>
      </c>
      <c r="E9" s="56" t="e">
        <f ca="1"/>
        <v>#NAME?</v>
      </c>
      <c r="F9" s="7"/>
      <c r="G9" s="52" t="e">
        <f ca="1"/>
        <v>#NAME?</v>
      </c>
      <c r="H9" s="53" t="e">
        <f ca="1"/>
        <v>#NAME?</v>
      </c>
      <c r="I9" s="53" t="e">
        <f ca="1"/>
        <v>#NAME?</v>
      </c>
      <c r="J9" s="53" t="e">
        <f ca="1"/>
        <v>#NAME?</v>
      </c>
      <c r="K9" s="56" t="e">
        <f ca="1"/>
        <v>#NAME?</v>
      </c>
    </row>
    <row r="11" spans="1:22" x14ac:dyDescent="0.25">
      <c r="A11" t="s">
        <v>268</v>
      </c>
      <c r="G11" t="s">
        <v>50</v>
      </c>
      <c r="M11" t="s">
        <v>319</v>
      </c>
      <c r="N11" s="57" t="e">
        <f ca="1">V8</f>
        <v>#NAME?</v>
      </c>
      <c r="P11" t="s">
        <v>488</v>
      </c>
      <c r="Q11" s="57">
        <f>(N5-1)*(N5+2)/(6*(N6-1))*S8</f>
        <v>0.18724279835390947</v>
      </c>
    </row>
    <row r="12" spans="1:22" x14ac:dyDescent="0.25">
      <c r="M12" t="s">
        <v>23</v>
      </c>
      <c r="N12" s="78">
        <f>(2*N5^2+3*N5-1)/(6*(N5+1)*(N6-1))*R8</f>
        <v>0.39506172839506171</v>
      </c>
      <c r="P12" t="s">
        <v>95</v>
      </c>
      <c r="Q12" s="78">
        <f>(N14+2)/ABS(Q11-N12^2)</f>
        <v>1026.6601466992654</v>
      </c>
    </row>
    <row r="13" spans="1:22" x14ac:dyDescent="0.25">
      <c r="A13" s="61" t="e">
        <f t="array" aca="1" ref="A13:E17" ca="1">COV('ANOVA Match 2.3'!B11:F17)</f>
        <v>#NAME?</v>
      </c>
      <c r="B13" s="117" t="e">
        <f ca="1"/>
        <v>#NAME?</v>
      </c>
      <c r="C13" s="117" t="e">
        <f ca="1"/>
        <v>#NAME?</v>
      </c>
      <c r="D13" s="117" t="e">
        <f ca="1"/>
        <v>#NAME?</v>
      </c>
      <c r="E13" s="118" t="e">
        <f ca="1"/>
        <v>#NAME?</v>
      </c>
      <c r="F13" s="7"/>
      <c r="G13" s="61" t="e">
        <f t="array" ref="G13:K17" ca="1">(A5:E9+A13:E17+G5:K9)/3</f>
        <v>#NAME?</v>
      </c>
      <c r="H13" s="117" t="e">
        <f ca="1"/>
        <v>#NAME?</v>
      </c>
      <c r="I13" s="117" t="e">
        <f ca="1"/>
        <v>#NAME?</v>
      </c>
      <c r="J13" s="117" t="e">
        <f ca="1"/>
        <v>#NAME?</v>
      </c>
      <c r="K13" s="118" t="e">
        <f ca="1"/>
        <v>#NAME?</v>
      </c>
      <c r="M13" s="22" t="s">
        <v>59</v>
      </c>
      <c r="N13" s="78" t="e">
        <f ca="1">N11*(1-N12)</f>
        <v>#NAME?</v>
      </c>
      <c r="P13" t="s">
        <v>323</v>
      </c>
      <c r="Q13" s="78">
        <f>N14/(1-N12-N14/Q12)</f>
        <v>52.108907696507906</v>
      </c>
    </row>
    <row r="14" spans="1:22" x14ac:dyDescent="0.25">
      <c r="A14" s="107" t="e">
        <f ca="1"/>
        <v>#NAME?</v>
      </c>
      <c r="B14" s="7" t="e">
        <f ca="1"/>
        <v>#NAME?</v>
      </c>
      <c r="C14" s="7" t="e">
        <f ca="1"/>
        <v>#NAME?</v>
      </c>
      <c r="D14" s="7" t="e">
        <f ca="1"/>
        <v>#NAME?</v>
      </c>
      <c r="E14" s="108" t="e">
        <f ca="1"/>
        <v>#NAME?</v>
      </c>
      <c r="F14" s="7"/>
      <c r="G14" s="107" t="e">
        <f ca="1"/>
        <v>#NAME?</v>
      </c>
      <c r="H14" s="7" t="e">
        <f ca="1"/>
        <v>#NAME?</v>
      </c>
      <c r="I14" s="7" t="e">
        <f ca="1"/>
        <v>#NAME?</v>
      </c>
      <c r="J14" s="7" t="e">
        <f ca="1"/>
        <v>#NAME?</v>
      </c>
      <c r="K14" s="108" t="e">
        <f ca="1"/>
        <v>#NAME?</v>
      </c>
      <c r="M14" s="22" t="s">
        <v>37</v>
      </c>
      <c r="N14" s="78">
        <f>N5*(N5+1)*(N6-1)/2</f>
        <v>30</v>
      </c>
      <c r="P14" t="s">
        <v>324</v>
      </c>
      <c r="Q14" s="78">
        <f>Q12/(1-N12+2/Q12)</f>
        <v>1691.6843994114142</v>
      </c>
    </row>
    <row r="15" spans="1:22" x14ac:dyDescent="0.25">
      <c r="A15" s="107" t="e">
        <f ca="1"/>
        <v>#NAME?</v>
      </c>
      <c r="B15" s="7" t="e">
        <f ca="1"/>
        <v>#NAME?</v>
      </c>
      <c r="C15" s="7" t="e">
        <f ca="1"/>
        <v>#NAME?</v>
      </c>
      <c r="D15" s="7" t="e">
        <f ca="1"/>
        <v>#NAME?</v>
      </c>
      <c r="E15" s="108" t="e">
        <f ca="1"/>
        <v>#NAME?</v>
      </c>
      <c r="F15" s="7"/>
      <c r="G15" s="107" t="e">
        <f ca="1"/>
        <v>#NAME?</v>
      </c>
      <c r="H15" s="7" t="e">
        <f ca="1"/>
        <v>#NAME?</v>
      </c>
      <c r="I15" s="7" t="e">
        <f ca="1"/>
        <v>#NAME?</v>
      </c>
      <c r="J15" s="7" t="e">
        <f ca="1"/>
        <v>#NAME?</v>
      </c>
      <c r="K15" s="108" t="e">
        <f ca="1"/>
        <v>#NAME?</v>
      </c>
      <c r="M15" s="22" t="s">
        <v>43</v>
      </c>
      <c r="N15" s="78" t="e">
        <f ca="1">CHIDIST(N13,N14)</f>
        <v>#NAME?</v>
      </c>
      <c r="P15" t="s">
        <v>322</v>
      </c>
      <c r="Q15" s="78" t="e">
        <f ca="1">N11/Q13</f>
        <v>#NAME?</v>
      </c>
    </row>
    <row r="16" spans="1:22" x14ac:dyDescent="0.25">
      <c r="A16" s="107" t="e">
        <f ca="1"/>
        <v>#NAME?</v>
      </c>
      <c r="B16" s="7" t="e">
        <f ca="1"/>
        <v>#NAME?</v>
      </c>
      <c r="C16" s="7" t="e">
        <f ca="1"/>
        <v>#NAME?</v>
      </c>
      <c r="D16" s="7" t="e">
        <f ca="1"/>
        <v>#NAME?</v>
      </c>
      <c r="E16" s="108" t="e">
        <f ca="1"/>
        <v>#NAME?</v>
      </c>
      <c r="F16" s="7"/>
      <c r="G16" s="107" t="e">
        <f ca="1"/>
        <v>#NAME?</v>
      </c>
      <c r="H16" s="7" t="e">
        <f ca="1"/>
        <v>#NAME?</v>
      </c>
      <c r="I16" s="7" t="e">
        <f ca="1"/>
        <v>#NAME?</v>
      </c>
      <c r="J16" s="7" t="e">
        <f ca="1"/>
        <v>#NAME?</v>
      </c>
      <c r="K16" s="108" t="e">
        <f ca="1"/>
        <v>#NAME?</v>
      </c>
      <c r="M16" s="22" t="s">
        <v>28</v>
      </c>
      <c r="N16" s="78">
        <v>1E-3</v>
      </c>
      <c r="P16" t="s">
        <v>325</v>
      </c>
      <c r="Q16" s="78" t="e">
        <f ca="1">Q12*N11/(N14*(Q14-Q12))</f>
        <v>#NAME?</v>
      </c>
    </row>
    <row r="17" spans="1:17" x14ac:dyDescent="0.25">
      <c r="A17" s="52" t="e">
        <f ca="1"/>
        <v>#NAME?</v>
      </c>
      <c r="B17" s="53" t="e">
        <f ca="1"/>
        <v>#NAME?</v>
      </c>
      <c r="C17" s="53" t="e">
        <f ca="1"/>
        <v>#NAME?</v>
      </c>
      <c r="D17" s="53" t="e">
        <f ca="1"/>
        <v>#NAME?</v>
      </c>
      <c r="E17" s="56" t="e">
        <f ca="1"/>
        <v>#NAME?</v>
      </c>
      <c r="F17" s="7"/>
      <c r="G17" s="52" t="e">
        <f ca="1"/>
        <v>#NAME?</v>
      </c>
      <c r="H17" s="53" t="e">
        <f ca="1"/>
        <v>#NAME?</v>
      </c>
      <c r="I17" s="53" t="e">
        <f ca="1"/>
        <v>#NAME?</v>
      </c>
      <c r="J17" s="53" t="e">
        <f ca="1"/>
        <v>#NAME?</v>
      </c>
      <c r="K17" s="56" t="e">
        <f ca="1"/>
        <v>#NAME?</v>
      </c>
      <c r="M17" s="22" t="s">
        <v>60</v>
      </c>
      <c r="N17" s="78">
        <f>CHIINV(N16,N14)</f>
        <v>59.70306430442993</v>
      </c>
      <c r="P17" t="s">
        <v>68</v>
      </c>
      <c r="Q17" s="78" t="e">
        <f ca="1">IF(Q11&gt;N12^2,Q15,Q16)</f>
        <v>#NAME?</v>
      </c>
    </row>
    <row r="18" spans="1:17" x14ac:dyDescent="0.25">
      <c r="M18" s="22" t="s">
        <v>111</v>
      </c>
      <c r="N18" s="55" t="e">
        <f ca="1">IF(N15&lt;N16,"yes","no")</f>
        <v>#NAME?</v>
      </c>
      <c r="P18" t="s">
        <v>43</v>
      </c>
      <c r="Q18" s="78" t="e">
        <f ca="1">FDIST(Q17,N14,Q12)</f>
        <v>#NAME?</v>
      </c>
    </row>
    <row r="19" spans="1:17" x14ac:dyDescent="0.25">
      <c r="P19" t="s">
        <v>79</v>
      </c>
      <c r="Q19" s="78" t="e">
        <f ca="1">F_INV_RT(N16,N14,Q12)</f>
        <v>#NAME?</v>
      </c>
    </row>
    <row r="20" spans="1:17" x14ac:dyDescent="0.25">
      <c r="P20" t="s">
        <v>111</v>
      </c>
      <c r="Q20" s="55" t="e">
        <f ca="1">IF(Q18&lt;N16,"yes","no")</f>
        <v>#NAME?</v>
      </c>
    </row>
    <row r="21" spans="1:17" x14ac:dyDescent="0.25">
      <c r="F21" s="7"/>
      <c r="G21" s="7"/>
      <c r="J21" s="7"/>
      <c r="K21" s="7"/>
    </row>
    <row r="22" spans="1:17" x14ac:dyDescent="0.25">
      <c r="F22" s="7"/>
      <c r="G22" s="7"/>
      <c r="J22" s="7"/>
      <c r="K22" s="7"/>
    </row>
    <row r="23" spans="1:17" x14ac:dyDescent="0.25">
      <c r="F23" s="7"/>
      <c r="G23" s="7"/>
      <c r="J23" s="7"/>
      <c r="K23" s="7"/>
    </row>
    <row r="24" spans="1:17" x14ac:dyDescent="0.25">
      <c r="F24" s="7"/>
      <c r="G24" s="7"/>
      <c r="J24" s="7"/>
      <c r="K24" s="7"/>
    </row>
    <row r="25" spans="1:17" x14ac:dyDescent="0.25">
      <c r="F25" s="7"/>
      <c r="G25" s="7"/>
      <c r="J25" s="7"/>
      <c r="K25" s="7"/>
    </row>
    <row r="29" spans="1:17" x14ac:dyDescent="0.25">
      <c r="F29" s="7"/>
      <c r="G29" s="7"/>
      <c r="H29" s="7"/>
      <c r="I29" s="7"/>
      <c r="J29" s="7"/>
      <c r="K29" s="7"/>
    </row>
    <row r="30" spans="1:17" x14ac:dyDescent="0.25">
      <c r="F30" s="7"/>
      <c r="G30" s="7"/>
      <c r="H30" s="7"/>
      <c r="I30" s="7"/>
      <c r="J30" s="7"/>
      <c r="K30" s="7"/>
    </row>
    <row r="31" spans="1:17" x14ac:dyDescent="0.25">
      <c r="F31" s="7"/>
      <c r="G31" s="7"/>
      <c r="H31" s="7"/>
      <c r="I31" s="7"/>
      <c r="J31" s="7"/>
      <c r="K31" s="7"/>
    </row>
    <row r="32" spans="1:17" x14ac:dyDescent="0.25">
      <c r="F32" s="7"/>
      <c r="G32" s="7"/>
      <c r="H32" s="7"/>
      <c r="I32" s="7"/>
      <c r="J32" s="7"/>
      <c r="K32" s="7"/>
    </row>
    <row r="33" spans="6:11" x14ac:dyDescent="0.25">
      <c r="F33" s="7"/>
      <c r="G33" s="7"/>
      <c r="H33" s="7"/>
      <c r="I33" s="7"/>
      <c r="J33" s="7"/>
      <c r="K33" s="7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6"/>
  <dimension ref="A1:AN242"/>
  <sheetViews>
    <sheetView workbookViewId="0"/>
  </sheetViews>
  <sheetFormatPr defaultRowHeight="15" x14ac:dyDescent="0.25"/>
  <cols>
    <col min="6" max="23" width="5.140625" customWidth="1"/>
    <col min="25" max="25" width="17.28515625" customWidth="1"/>
    <col min="34" max="34" width="17.85546875" customWidth="1"/>
  </cols>
  <sheetData>
    <row r="1" spans="1:40" x14ac:dyDescent="0.25">
      <c r="A1" s="1" t="s">
        <v>648</v>
      </c>
      <c r="Y1" t="s">
        <v>768</v>
      </c>
      <c r="AH1" t="s">
        <v>562</v>
      </c>
    </row>
    <row r="2" spans="1:40" x14ac:dyDescent="0.25">
      <c r="F2" s="475" t="s">
        <v>769</v>
      </c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 t="s">
        <v>770</v>
      </c>
      <c r="T2" s="475"/>
      <c r="U2" s="475" t="s">
        <v>508</v>
      </c>
      <c r="V2" s="475"/>
    </row>
    <row r="3" spans="1:40" ht="15.75" thickBot="1" x14ac:dyDescent="0.3">
      <c r="A3" s="322" t="s">
        <v>2</v>
      </c>
      <c r="B3" s="12" t="s">
        <v>269</v>
      </c>
      <c r="C3" s="12" t="s">
        <v>270</v>
      </c>
      <c r="D3" s="12" t="s">
        <v>271</v>
      </c>
      <c r="F3" s="321">
        <v>2</v>
      </c>
      <c r="G3" s="321">
        <v>3</v>
      </c>
      <c r="H3" s="321">
        <v>4</v>
      </c>
      <c r="I3" s="321">
        <v>5</v>
      </c>
      <c r="J3" s="321">
        <v>6</v>
      </c>
      <c r="K3" s="321">
        <v>7</v>
      </c>
      <c r="L3" s="321">
        <v>8</v>
      </c>
      <c r="M3" s="321">
        <v>9</v>
      </c>
      <c r="N3" s="321">
        <v>10</v>
      </c>
      <c r="O3" s="321">
        <v>11</v>
      </c>
      <c r="P3" s="321">
        <v>12</v>
      </c>
      <c r="Q3" s="321">
        <v>13</v>
      </c>
      <c r="R3" s="321">
        <v>14</v>
      </c>
      <c r="S3" s="321">
        <v>2</v>
      </c>
      <c r="T3" s="321">
        <v>3</v>
      </c>
      <c r="U3" s="321" t="s">
        <v>771</v>
      </c>
      <c r="V3" s="321" t="s">
        <v>772</v>
      </c>
      <c r="W3" t="s">
        <v>773</v>
      </c>
      <c r="Y3" s="179" t="s">
        <v>496</v>
      </c>
      <c r="Z3" s="179"/>
      <c r="AB3" s="179"/>
      <c r="AC3" s="179"/>
      <c r="AH3" t="s">
        <v>84</v>
      </c>
      <c r="AL3" s="321" t="s">
        <v>17</v>
      </c>
      <c r="AM3" s="321">
        <v>0.05</v>
      </c>
    </row>
    <row r="4" spans="1:40" ht="15.75" thickTop="1" x14ac:dyDescent="0.25">
      <c r="A4" s="299" t="s">
        <v>267</v>
      </c>
      <c r="B4" s="326">
        <v>250</v>
      </c>
      <c r="C4" s="327">
        <v>278</v>
      </c>
      <c r="D4" s="328">
        <v>442</v>
      </c>
      <c r="F4" s="329">
        <v>0</v>
      </c>
      <c r="G4" s="330">
        <v>0</v>
      </c>
      <c r="H4" s="330">
        <v>0</v>
      </c>
      <c r="I4" s="330">
        <v>0</v>
      </c>
      <c r="J4" s="330">
        <v>0</v>
      </c>
      <c r="K4" s="330">
        <v>0</v>
      </c>
      <c r="L4" s="330">
        <v>0</v>
      </c>
      <c r="M4" s="330">
        <v>0</v>
      </c>
      <c r="N4" s="330">
        <v>0</v>
      </c>
      <c r="O4" s="330">
        <v>0</v>
      </c>
      <c r="P4" s="330">
        <v>0</v>
      </c>
      <c r="Q4" s="330">
        <v>0</v>
      </c>
      <c r="R4" s="330">
        <v>0</v>
      </c>
      <c r="S4" s="329">
        <v>0</v>
      </c>
      <c r="T4" s="331">
        <v>0</v>
      </c>
      <c r="U4" s="329">
        <v>0</v>
      </c>
      <c r="V4" s="331">
        <v>0</v>
      </c>
      <c r="W4" s="332">
        <v>250</v>
      </c>
      <c r="Y4" t="s">
        <v>82</v>
      </c>
      <c r="Z4" t="e">
        <f ca="1">SQRT(Z5)</f>
        <v>#NAME?</v>
      </c>
      <c r="AB4" t="s">
        <v>142</v>
      </c>
      <c r="AC4" t="e">
        <f ca="1">Z8*LN(AA13/Z8)+2*(Z12+1)</f>
        <v>#NAME?</v>
      </c>
      <c r="AH4" s="191"/>
      <c r="AI4" s="191" t="s">
        <v>76</v>
      </c>
      <c r="AJ4" s="191" t="s">
        <v>37</v>
      </c>
      <c r="AK4" s="191" t="s">
        <v>78</v>
      </c>
      <c r="AL4" s="191" t="s">
        <v>68</v>
      </c>
      <c r="AM4" s="191" t="s">
        <v>101</v>
      </c>
      <c r="AN4" s="191" t="s">
        <v>108</v>
      </c>
    </row>
    <row r="5" spans="1:40" x14ac:dyDescent="0.25">
      <c r="A5" s="107"/>
      <c r="B5" s="122">
        <v>65</v>
      </c>
      <c r="C5" s="123">
        <v>207</v>
      </c>
      <c r="D5" s="124">
        <v>341</v>
      </c>
      <c r="F5" s="333">
        <v>1</v>
      </c>
      <c r="G5" s="334">
        <v>0</v>
      </c>
      <c r="H5" s="334">
        <v>0</v>
      </c>
      <c r="I5" s="334">
        <v>0</v>
      </c>
      <c r="J5" s="334">
        <v>0</v>
      </c>
      <c r="K5" s="334">
        <v>0</v>
      </c>
      <c r="L5" s="334">
        <v>0</v>
      </c>
      <c r="M5" s="334">
        <v>0</v>
      </c>
      <c r="N5" s="334">
        <v>0</v>
      </c>
      <c r="O5" s="334">
        <v>0</v>
      </c>
      <c r="P5" s="334">
        <v>0</v>
      </c>
      <c r="Q5" s="334">
        <v>0</v>
      </c>
      <c r="R5" s="334">
        <v>0</v>
      </c>
      <c r="S5" s="333">
        <v>0</v>
      </c>
      <c r="T5" s="335">
        <v>0</v>
      </c>
      <c r="U5" s="333">
        <v>0</v>
      </c>
      <c r="V5" s="335">
        <v>0</v>
      </c>
      <c r="W5" s="336">
        <v>65</v>
      </c>
      <c r="Y5" t="s">
        <v>80</v>
      </c>
      <c r="Z5" t="e">
        <f ca="1">AA12/AA14</f>
        <v>#NAME?</v>
      </c>
      <c r="AB5" t="s">
        <v>143</v>
      </c>
      <c r="AC5" t="e">
        <f ca="1">AC4+2*(Z12+2)*(Z12+3)/(Z8-Z12-3)</f>
        <v>#NAME?</v>
      </c>
      <c r="AH5" t="s">
        <v>259</v>
      </c>
      <c r="AI5" t="e">
        <f ca="1">AI12-AI8</f>
        <v>#NAME?</v>
      </c>
      <c r="AJ5">
        <f>AJ12-AJ8</f>
        <v>13</v>
      </c>
    </row>
    <row r="6" spans="1:40" x14ac:dyDescent="0.25">
      <c r="A6" s="107"/>
      <c r="B6" s="122">
        <v>251</v>
      </c>
      <c r="C6" s="123">
        <v>261</v>
      </c>
      <c r="D6" s="124">
        <v>384</v>
      </c>
      <c r="F6" s="333">
        <v>0</v>
      </c>
      <c r="G6" s="334">
        <v>1</v>
      </c>
      <c r="H6" s="334">
        <v>0</v>
      </c>
      <c r="I6" s="334">
        <v>0</v>
      </c>
      <c r="J6" s="334">
        <v>0</v>
      </c>
      <c r="K6" s="334">
        <v>0</v>
      </c>
      <c r="L6" s="334">
        <v>0</v>
      </c>
      <c r="M6" s="334">
        <v>0</v>
      </c>
      <c r="N6" s="334">
        <v>0</v>
      </c>
      <c r="O6" s="334">
        <v>0</v>
      </c>
      <c r="P6" s="334">
        <v>0</v>
      </c>
      <c r="Q6" s="334">
        <v>0</v>
      </c>
      <c r="R6" s="334">
        <v>0</v>
      </c>
      <c r="S6" s="333">
        <v>0</v>
      </c>
      <c r="T6" s="335">
        <v>0</v>
      </c>
      <c r="U6" s="333">
        <v>0</v>
      </c>
      <c r="V6" s="335">
        <v>0</v>
      </c>
      <c r="W6" s="336">
        <v>251</v>
      </c>
      <c r="Y6" t="s">
        <v>83</v>
      </c>
      <c r="Z6" t="e">
        <f ca="1">1-(1-Z5)*(Z8-1)/(Z8-Z12-1)</f>
        <v>#NAME?</v>
      </c>
      <c r="AB6" s="185" t="s">
        <v>647</v>
      </c>
      <c r="AC6" s="185" t="e">
        <f ca="1">Z8*LN(AA13/Z8)+(Z12+1)*LN(Z8)</f>
        <v>#NAME?</v>
      </c>
      <c r="AH6" t="s">
        <v>563</v>
      </c>
      <c r="AI6" t="e">
        <f ca="1">AA105</f>
        <v>#NAME?</v>
      </c>
      <c r="AJ6">
        <f>Z105</f>
        <v>2</v>
      </c>
      <c r="AK6" t="e">
        <f ca="1">AI6/AJ6</f>
        <v>#NAME?</v>
      </c>
      <c r="AL6" t="e">
        <f ca="1">AK6/AK7</f>
        <v>#NAME?</v>
      </c>
      <c r="AM6" t="e">
        <f ca="1">FDIST(AL6,AJ6,AJ7)</f>
        <v>#NAME?</v>
      </c>
      <c r="AN6">
        <f>FINV(AM3,AJ6,AJ7)</f>
        <v>3.9822979570944854</v>
      </c>
    </row>
    <row r="7" spans="1:40" x14ac:dyDescent="0.25">
      <c r="A7" s="107"/>
      <c r="B7" s="122">
        <v>103</v>
      </c>
      <c r="C7" s="123">
        <v>286</v>
      </c>
      <c r="D7" s="124">
        <v>401</v>
      </c>
      <c r="F7" s="333">
        <v>0</v>
      </c>
      <c r="G7" s="334">
        <v>0</v>
      </c>
      <c r="H7" s="334">
        <v>1</v>
      </c>
      <c r="I7" s="334">
        <v>0</v>
      </c>
      <c r="J7" s="334">
        <v>0</v>
      </c>
      <c r="K7" s="334">
        <v>0</v>
      </c>
      <c r="L7" s="334">
        <v>0</v>
      </c>
      <c r="M7" s="334">
        <v>0</v>
      </c>
      <c r="N7" s="334">
        <v>0</v>
      </c>
      <c r="O7" s="334">
        <v>0</v>
      </c>
      <c r="P7" s="334">
        <v>0</v>
      </c>
      <c r="Q7" s="334">
        <v>0</v>
      </c>
      <c r="R7" s="334">
        <v>0</v>
      </c>
      <c r="S7" s="333">
        <v>0</v>
      </c>
      <c r="T7" s="335">
        <v>0</v>
      </c>
      <c r="U7" s="333">
        <v>0</v>
      </c>
      <c r="V7" s="335">
        <v>0</v>
      </c>
      <c r="W7" s="336">
        <v>103</v>
      </c>
      <c r="Y7" t="s">
        <v>9</v>
      </c>
      <c r="Z7" t="e">
        <f ca="1">SQRT(AB13)</f>
        <v>#NAME?</v>
      </c>
      <c r="AH7" t="s">
        <v>564</v>
      </c>
      <c r="AI7" t="e">
        <f ca="1">AI5-AI6</f>
        <v>#NAME?</v>
      </c>
      <c r="AJ7">
        <f>AJ5-AJ6</f>
        <v>11</v>
      </c>
      <c r="AK7" t="e">
        <f ca="1">AI7/AJ7</f>
        <v>#NAME?</v>
      </c>
    </row>
    <row r="8" spans="1:40" x14ac:dyDescent="0.25">
      <c r="A8" s="52"/>
      <c r="B8" s="125">
        <v>230</v>
      </c>
      <c r="C8" s="123">
        <v>306</v>
      </c>
      <c r="D8" s="127">
        <v>432</v>
      </c>
      <c r="F8" s="333">
        <v>0</v>
      </c>
      <c r="G8" s="334">
        <v>0</v>
      </c>
      <c r="H8" s="334">
        <v>0</v>
      </c>
      <c r="I8" s="334">
        <v>1</v>
      </c>
      <c r="J8" s="334">
        <v>0</v>
      </c>
      <c r="K8" s="334">
        <v>0</v>
      </c>
      <c r="L8" s="334">
        <v>0</v>
      </c>
      <c r="M8" s="334">
        <v>0</v>
      </c>
      <c r="N8" s="334">
        <v>0</v>
      </c>
      <c r="O8" s="334">
        <v>0</v>
      </c>
      <c r="P8" s="334">
        <v>0</v>
      </c>
      <c r="Q8" s="334">
        <v>0</v>
      </c>
      <c r="R8" s="334">
        <v>0</v>
      </c>
      <c r="S8" s="333">
        <v>0</v>
      </c>
      <c r="T8" s="335">
        <v>0</v>
      </c>
      <c r="U8" s="337">
        <v>0</v>
      </c>
      <c r="V8" s="338">
        <v>0</v>
      </c>
      <c r="W8" s="339">
        <v>230</v>
      </c>
      <c r="Y8" s="185" t="s">
        <v>49</v>
      </c>
      <c r="Z8" s="185">
        <f>COUNT(W4:W45)</f>
        <v>42</v>
      </c>
      <c r="AH8" t="s">
        <v>261</v>
      </c>
      <c r="AI8" t="e">
        <f ca="1">AA50</f>
        <v>#NAME?</v>
      </c>
      <c r="AJ8">
        <f>Z50</f>
        <v>28</v>
      </c>
    </row>
    <row r="9" spans="1:40" x14ac:dyDescent="0.25">
      <c r="A9" s="272" t="s">
        <v>268</v>
      </c>
      <c r="B9" s="326">
        <v>54</v>
      </c>
      <c r="C9" s="327">
        <v>172</v>
      </c>
      <c r="D9" s="328">
        <v>307</v>
      </c>
      <c r="F9" s="333">
        <v>0</v>
      </c>
      <c r="G9" s="334">
        <v>0</v>
      </c>
      <c r="H9" s="334">
        <v>0</v>
      </c>
      <c r="I9" s="334">
        <v>0</v>
      </c>
      <c r="J9" s="334">
        <v>1</v>
      </c>
      <c r="K9" s="334">
        <v>0</v>
      </c>
      <c r="L9" s="334">
        <v>0</v>
      </c>
      <c r="M9" s="334">
        <v>0</v>
      </c>
      <c r="N9" s="334">
        <v>0</v>
      </c>
      <c r="O9" s="334">
        <v>0</v>
      </c>
      <c r="P9" s="334">
        <v>0</v>
      </c>
      <c r="Q9" s="334">
        <v>0</v>
      </c>
      <c r="R9" s="334">
        <v>0</v>
      </c>
      <c r="S9" s="333">
        <v>0</v>
      </c>
      <c r="T9" s="335">
        <v>0</v>
      </c>
      <c r="U9" s="329">
        <v>1</v>
      </c>
      <c r="V9" s="331">
        <v>0</v>
      </c>
      <c r="W9" s="332">
        <v>54</v>
      </c>
      <c r="AH9" t="s">
        <v>565</v>
      </c>
      <c r="AI9" t="e">
        <f ca="1">AA235</f>
        <v>#NAME?</v>
      </c>
      <c r="AJ9">
        <f>Z235</f>
        <v>2</v>
      </c>
      <c r="AK9" t="e">
        <f ca="1">AI9/AJ9</f>
        <v>#NAME?</v>
      </c>
      <c r="AL9" t="e">
        <f ca="1">AK9/AK11</f>
        <v>#NAME?</v>
      </c>
      <c r="AM9" t="e">
        <f ca="1">FDIST(AL9,AJ9,AJ11)</f>
        <v>#NAME?</v>
      </c>
      <c r="AN9">
        <f>FINV(AM3,AJ9,AJ11)</f>
        <v>3.4433567793667246</v>
      </c>
    </row>
    <row r="10" spans="1:40" ht="15.75" thickBot="1" x14ac:dyDescent="0.3">
      <c r="A10" s="78"/>
      <c r="B10" s="122">
        <v>20</v>
      </c>
      <c r="C10" s="123">
        <v>116</v>
      </c>
      <c r="D10" s="124">
        <v>425</v>
      </c>
      <c r="F10" s="333">
        <v>0</v>
      </c>
      <c r="G10" s="334">
        <v>0</v>
      </c>
      <c r="H10" s="334">
        <v>0</v>
      </c>
      <c r="I10" s="334">
        <v>0</v>
      </c>
      <c r="J10" s="334">
        <v>0</v>
      </c>
      <c r="K10" s="334">
        <v>1</v>
      </c>
      <c r="L10" s="334">
        <v>0</v>
      </c>
      <c r="M10" s="334">
        <v>0</v>
      </c>
      <c r="N10" s="334">
        <v>0</v>
      </c>
      <c r="O10" s="334">
        <v>0</v>
      </c>
      <c r="P10" s="334">
        <v>0</v>
      </c>
      <c r="Q10" s="334">
        <v>0</v>
      </c>
      <c r="R10" s="334">
        <v>0</v>
      </c>
      <c r="S10" s="333">
        <v>0</v>
      </c>
      <c r="T10" s="335">
        <v>0</v>
      </c>
      <c r="U10" s="333">
        <v>1</v>
      </c>
      <c r="V10" s="335">
        <v>0</v>
      </c>
      <c r="W10" s="336">
        <v>20</v>
      </c>
      <c r="Y10" t="s">
        <v>84</v>
      </c>
      <c r="AC10" s="321" t="s">
        <v>17</v>
      </c>
      <c r="AD10" s="321">
        <v>0.05</v>
      </c>
      <c r="AH10" t="s">
        <v>566</v>
      </c>
      <c r="AI10" t="e">
        <f ca="1">AA208-AA82</f>
        <v>#NAME?</v>
      </c>
      <c r="AJ10">
        <f>Z208-Z82</f>
        <v>4</v>
      </c>
      <c r="AK10" t="e">
        <f ca="1">AI10/AJ10</f>
        <v>#NAME?</v>
      </c>
      <c r="AL10" t="e">
        <f ca="1">AK10/AK11</f>
        <v>#NAME?</v>
      </c>
      <c r="AM10" t="e">
        <f ca="1">FDIST(AL10,AJ10,AJ11)</f>
        <v>#NAME?</v>
      </c>
      <c r="AN10">
        <f>FINV(AM3,AJ10,AJ11)</f>
        <v>2.8167083396402548</v>
      </c>
    </row>
    <row r="11" spans="1:40" ht="15.75" thickTop="1" x14ac:dyDescent="0.25">
      <c r="A11" s="78"/>
      <c r="B11" s="122">
        <v>41</v>
      </c>
      <c r="C11" s="123">
        <v>168</v>
      </c>
      <c r="D11" s="124">
        <v>378</v>
      </c>
      <c r="F11" s="333">
        <v>0</v>
      </c>
      <c r="G11" s="334">
        <v>0</v>
      </c>
      <c r="H11" s="334">
        <v>0</v>
      </c>
      <c r="I11" s="334">
        <v>0</v>
      </c>
      <c r="J11" s="334">
        <v>0</v>
      </c>
      <c r="K11" s="334">
        <v>0</v>
      </c>
      <c r="L11" s="334">
        <v>1</v>
      </c>
      <c r="M11" s="334">
        <v>0</v>
      </c>
      <c r="N11" s="334">
        <v>0</v>
      </c>
      <c r="O11" s="334">
        <v>0</v>
      </c>
      <c r="P11" s="334">
        <v>0</v>
      </c>
      <c r="Q11" s="334">
        <v>0</v>
      </c>
      <c r="R11" s="334">
        <v>0</v>
      </c>
      <c r="S11" s="333">
        <v>0</v>
      </c>
      <c r="T11" s="335">
        <v>0</v>
      </c>
      <c r="U11" s="333">
        <v>1</v>
      </c>
      <c r="V11" s="335">
        <v>0</v>
      </c>
      <c r="W11" s="336">
        <v>41</v>
      </c>
      <c r="Y11" s="191"/>
      <c r="Z11" s="191" t="s">
        <v>37</v>
      </c>
      <c r="AA11" s="191" t="s">
        <v>76</v>
      </c>
      <c r="AB11" s="191" t="s">
        <v>78</v>
      </c>
      <c r="AC11" s="191" t="s">
        <v>68</v>
      </c>
      <c r="AD11" s="191" t="s">
        <v>43</v>
      </c>
      <c r="AE11" s="191" t="s">
        <v>111</v>
      </c>
      <c r="AH11" t="s">
        <v>564</v>
      </c>
      <c r="AI11" t="e">
        <f ca="1">AI8-AI9-AI10</f>
        <v>#NAME?</v>
      </c>
      <c r="AJ11">
        <f>AJ8-AJ9-AJ10</f>
        <v>22</v>
      </c>
      <c r="AK11" t="e">
        <f ca="1">AI11/AJ11</f>
        <v>#NAME?</v>
      </c>
    </row>
    <row r="12" spans="1:40" x14ac:dyDescent="0.25">
      <c r="A12" s="78"/>
      <c r="B12" s="122">
        <v>29</v>
      </c>
      <c r="C12" s="123">
        <v>81</v>
      </c>
      <c r="D12" s="124">
        <v>193</v>
      </c>
      <c r="F12" s="333">
        <v>0</v>
      </c>
      <c r="G12" s="334">
        <v>0</v>
      </c>
      <c r="H12" s="334">
        <v>0</v>
      </c>
      <c r="I12" s="334">
        <v>0</v>
      </c>
      <c r="J12" s="334">
        <v>0</v>
      </c>
      <c r="K12" s="334">
        <v>0</v>
      </c>
      <c r="L12" s="334">
        <v>0</v>
      </c>
      <c r="M12" s="334">
        <v>1</v>
      </c>
      <c r="N12" s="334">
        <v>0</v>
      </c>
      <c r="O12" s="334">
        <v>0</v>
      </c>
      <c r="P12" s="334">
        <v>0</v>
      </c>
      <c r="Q12" s="334">
        <v>0</v>
      </c>
      <c r="R12" s="334">
        <v>0</v>
      </c>
      <c r="S12" s="333">
        <v>0</v>
      </c>
      <c r="T12" s="335">
        <v>0</v>
      </c>
      <c r="U12" s="333">
        <v>1</v>
      </c>
      <c r="V12" s="335">
        <v>0</v>
      </c>
      <c r="W12" s="336">
        <v>29</v>
      </c>
      <c r="Y12" t="s">
        <v>77</v>
      </c>
      <c r="Z12">
        <f>COUNT(F4:V4)</f>
        <v>17</v>
      </c>
      <c r="AA12" t="e">
        <f ca="1">DEVSQ(MMULT(DESIGN(F4:V45),Z17:Z34))</f>
        <v>#NAME?</v>
      </c>
      <c r="AB12" t="e">
        <f ca="1">AA12/Z12</f>
        <v>#NAME?</v>
      </c>
      <c r="AC12" t="e">
        <f ca="1">AB12/AB13</f>
        <v>#NAME?</v>
      </c>
      <c r="AD12" t="e">
        <f ca="1">FDIST(AC12,Z12,Z13)</f>
        <v>#NAME?</v>
      </c>
      <c r="AE12" s="321" t="e">
        <f ca="1">IF(AD12&lt;AD10,"yes","no")</f>
        <v>#NAME?</v>
      </c>
      <c r="AH12" s="185" t="s">
        <v>1</v>
      </c>
      <c r="AI12" s="185">
        <f>AA14</f>
        <v>765790.4761904761</v>
      </c>
      <c r="AJ12" s="185">
        <f>Z14</f>
        <v>41</v>
      </c>
      <c r="AK12" s="185">
        <f>AI12/AJ12</f>
        <v>18677.816492450638</v>
      </c>
      <c r="AL12" s="185"/>
      <c r="AM12" s="185"/>
      <c r="AN12" s="185"/>
    </row>
    <row r="13" spans="1:40" x14ac:dyDescent="0.25">
      <c r="A13" s="58"/>
      <c r="B13" s="125">
        <v>3</v>
      </c>
      <c r="C13" s="225">
        <v>54</v>
      </c>
      <c r="D13" s="127">
        <v>285</v>
      </c>
      <c r="F13" s="333">
        <v>0</v>
      </c>
      <c r="G13" s="334">
        <v>0</v>
      </c>
      <c r="H13" s="334">
        <v>0</v>
      </c>
      <c r="I13" s="334">
        <v>0</v>
      </c>
      <c r="J13" s="334">
        <v>0</v>
      </c>
      <c r="K13" s="334">
        <v>0</v>
      </c>
      <c r="L13" s="334">
        <v>0</v>
      </c>
      <c r="M13" s="334">
        <v>0</v>
      </c>
      <c r="N13" s="334">
        <v>1</v>
      </c>
      <c r="O13" s="334">
        <v>0</v>
      </c>
      <c r="P13" s="334">
        <v>0</v>
      </c>
      <c r="Q13" s="334">
        <v>0</v>
      </c>
      <c r="R13" s="334">
        <v>0</v>
      </c>
      <c r="S13" s="333">
        <v>0</v>
      </c>
      <c r="T13" s="335">
        <v>0</v>
      </c>
      <c r="U13" s="337">
        <v>1</v>
      </c>
      <c r="V13" s="338">
        <v>0</v>
      </c>
      <c r="W13" s="339">
        <v>3</v>
      </c>
      <c r="Y13" t="s">
        <v>85</v>
      </c>
      <c r="Z13">
        <f>Z14-Z12</f>
        <v>24</v>
      </c>
      <c r="AA13" t="e">
        <f ca="1">AA14-AA12</f>
        <v>#NAME?</v>
      </c>
      <c r="AB13" t="e">
        <f ca="1">AA13/Z13</f>
        <v>#NAME?</v>
      </c>
    </row>
    <row r="14" spans="1:40" x14ac:dyDescent="0.25">
      <c r="A14" s="272" t="s">
        <v>45</v>
      </c>
      <c r="B14" s="122">
        <v>118</v>
      </c>
      <c r="C14" s="123">
        <v>124</v>
      </c>
      <c r="D14" s="124">
        <v>365</v>
      </c>
      <c r="F14" s="333">
        <v>0</v>
      </c>
      <c r="G14" s="334">
        <v>0</v>
      </c>
      <c r="H14" s="334">
        <v>0</v>
      </c>
      <c r="I14" s="334">
        <v>0</v>
      </c>
      <c r="J14" s="334">
        <v>0</v>
      </c>
      <c r="K14" s="334">
        <v>0</v>
      </c>
      <c r="L14" s="334">
        <v>0</v>
      </c>
      <c r="M14" s="334">
        <v>0</v>
      </c>
      <c r="N14" s="334">
        <v>0</v>
      </c>
      <c r="O14" s="334">
        <v>1</v>
      </c>
      <c r="P14" s="334">
        <v>0</v>
      </c>
      <c r="Q14" s="334">
        <v>0</v>
      </c>
      <c r="R14" s="334">
        <v>0</v>
      </c>
      <c r="S14" s="333">
        <v>0</v>
      </c>
      <c r="T14" s="335">
        <v>0</v>
      </c>
      <c r="U14" s="333">
        <v>0</v>
      </c>
      <c r="V14" s="335">
        <v>1</v>
      </c>
      <c r="W14" s="336">
        <v>118</v>
      </c>
      <c r="Y14" s="185" t="s">
        <v>1</v>
      </c>
      <c r="Z14" s="185">
        <f>Z8-1</f>
        <v>41</v>
      </c>
      <c r="AA14" s="185">
        <f>DEVSQ(W4:W45)</f>
        <v>765790.4761904761</v>
      </c>
      <c r="AB14" s="185"/>
      <c r="AC14" s="185"/>
      <c r="AD14" s="185"/>
      <c r="AE14" s="185"/>
    </row>
    <row r="15" spans="1:40" ht="15.75" thickBot="1" x14ac:dyDescent="0.3">
      <c r="A15" s="78"/>
      <c r="B15" s="122">
        <v>83</v>
      </c>
      <c r="C15" s="123">
        <v>266</v>
      </c>
      <c r="D15" s="124">
        <v>382</v>
      </c>
      <c r="F15" s="333">
        <v>0</v>
      </c>
      <c r="G15" s="334">
        <v>0</v>
      </c>
      <c r="H15" s="334">
        <v>0</v>
      </c>
      <c r="I15" s="334">
        <v>0</v>
      </c>
      <c r="J15" s="334">
        <v>0</v>
      </c>
      <c r="K15" s="334">
        <v>0</v>
      </c>
      <c r="L15" s="334">
        <v>0</v>
      </c>
      <c r="M15" s="334">
        <v>0</v>
      </c>
      <c r="N15" s="334">
        <v>0</v>
      </c>
      <c r="O15" s="334">
        <v>0</v>
      </c>
      <c r="P15" s="334">
        <v>1</v>
      </c>
      <c r="Q15" s="334">
        <v>0</v>
      </c>
      <c r="R15" s="334">
        <v>0</v>
      </c>
      <c r="S15" s="333">
        <v>0</v>
      </c>
      <c r="T15" s="335">
        <v>0</v>
      </c>
      <c r="U15" s="333">
        <v>0</v>
      </c>
      <c r="V15" s="335">
        <v>1</v>
      </c>
      <c r="W15" s="336">
        <v>83</v>
      </c>
    </row>
    <row r="16" spans="1:40" ht="15.75" thickTop="1" x14ac:dyDescent="0.25">
      <c r="A16" s="78"/>
      <c r="B16" s="122">
        <v>38</v>
      </c>
      <c r="C16" s="123">
        <v>207</v>
      </c>
      <c r="D16" s="124">
        <v>289</v>
      </c>
      <c r="F16" s="333">
        <v>0</v>
      </c>
      <c r="G16" s="334">
        <v>0</v>
      </c>
      <c r="H16" s="334">
        <v>0</v>
      </c>
      <c r="I16" s="334">
        <v>0</v>
      </c>
      <c r="J16" s="334">
        <v>0</v>
      </c>
      <c r="K16" s="334">
        <v>0</v>
      </c>
      <c r="L16" s="334">
        <v>0</v>
      </c>
      <c r="M16" s="334">
        <v>0</v>
      </c>
      <c r="N16" s="334">
        <v>0</v>
      </c>
      <c r="O16" s="334">
        <v>0</v>
      </c>
      <c r="P16" s="334">
        <v>0</v>
      </c>
      <c r="Q16" s="334">
        <v>1</v>
      </c>
      <c r="R16" s="334">
        <v>0</v>
      </c>
      <c r="S16" s="333">
        <v>0</v>
      </c>
      <c r="T16" s="335">
        <v>0</v>
      </c>
      <c r="U16" s="333">
        <v>0</v>
      </c>
      <c r="V16" s="335">
        <v>1</v>
      </c>
      <c r="W16" s="336">
        <v>38</v>
      </c>
      <c r="Y16" s="191"/>
      <c r="Z16" s="191" t="s">
        <v>494</v>
      </c>
      <c r="AA16" s="191" t="s">
        <v>183</v>
      </c>
      <c r="AB16" s="191" t="s">
        <v>38</v>
      </c>
      <c r="AC16" s="191" t="s">
        <v>43</v>
      </c>
      <c r="AD16" s="191" t="s">
        <v>14</v>
      </c>
      <c r="AE16" s="191" t="s">
        <v>15</v>
      </c>
      <c r="AF16" s="191" t="s">
        <v>646</v>
      </c>
    </row>
    <row r="17" spans="1:32" x14ac:dyDescent="0.25">
      <c r="A17" s="58"/>
      <c r="B17" s="125">
        <v>71</v>
      </c>
      <c r="C17" s="225">
        <v>285</v>
      </c>
      <c r="D17" s="127">
        <v>471</v>
      </c>
      <c r="F17" s="333">
        <v>0</v>
      </c>
      <c r="G17" s="334">
        <v>0</v>
      </c>
      <c r="H17" s="334">
        <v>0</v>
      </c>
      <c r="I17" s="334">
        <v>0</v>
      </c>
      <c r="J17" s="334">
        <v>0</v>
      </c>
      <c r="K17" s="334">
        <v>0</v>
      </c>
      <c r="L17" s="334">
        <v>0</v>
      </c>
      <c r="M17" s="334">
        <v>0</v>
      </c>
      <c r="N17" s="334">
        <v>0</v>
      </c>
      <c r="O17" s="334">
        <v>0</v>
      </c>
      <c r="P17" s="334">
        <v>0</v>
      </c>
      <c r="Q17" s="334">
        <v>0</v>
      </c>
      <c r="R17" s="334">
        <v>1</v>
      </c>
      <c r="S17" s="333">
        <v>0</v>
      </c>
      <c r="T17" s="335">
        <v>0</v>
      </c>
      <c r="U17" s="333">
        <v>0</v>
      </c>
      <c r="V17" s="335">
        <v>1</v>
      </c>
      <c r="W17" s="336">
        <v>71</v>
      </c>
      <c r="Y17" t="s">
        <v>86</v>
      </c>
      <c r="Z17" t="e">
        <f t="array" aca="1" ref="Z17:AA34" ca="1">RegCoeff(F4:V45,W4:W45)</f>
        <v>#NAME?</v>
      </c>
      <c r="AA17" t="e">
        <f ca="1"/>
        <v>#NAME?</v>
      </c>
      <c r="AB17" t="e">
        <f ca="1">Z17/AA17</f>
        <v>#NAME?</v>
      </c>
      <c r="AC17" t="e">
        <f ca="1">TDIST(ABS(AB17),$Z$13,2)</f>
        <v>#NAME?</v>
      </c>
      <c r="AD17" t="e">
        <f ca="1">Z17-TINV(AD$10,$Z$13)*AA17</f>
        <v>#NAME?</v>
      </c>
      <c r="AE17" t="e">
        <f ca="1">Z17+TINV(AD$10,$Z$13)*AA17</f>
        <v>#NAME?</v>
      </c>
    </row>
    <row r="18" spans="1:32" x14ac:dyDescent="0.25">
      <c r="F18" s="329">
        <v>0</v>
      </c>
      <c r="G18" s="330">
        <v>0</v>
      </c>
      <c r="H18" s="330">
        <v>0</v>
      </c>
      <c r="I18" s="330">
        <v>0</v>
      </c>
      <c r="J18" s="330">
        <v>0</v>
      </c>
      <c r="K18" s="330">
        <v>0</v>
      </c>
      <c r="L18" s="330">
        <v>0</v>
      </c>
      <c r="M18" s="330">
        <v>0</v>
      </c>
      <c r="N18" s="330">
        <v>0</v>
      </c>
      <c r="O18" s="330">
        <v>0</v>
      </c>
      <c r="P18" s="330">
        <v>0</v>
      </c>
      <c r="Q18" s="330">
        <v>0</v>
      </c>
      <c r="R18" s="330">
        <v>0</v>
      </c>
      <c r="S18" s="329">
        <v>1</v>
      </c>
      <c r="T18" s="331">
        <v>0</v>
      </c>
      <c r="U18" s="330">
        <v>0</v>
      </c>
      <c r="V18" s="331">
        <v>0</v>
      </c>
      <c r="W18" s="332">
        <v>278</v>
      </c>
      <c r="Y18">
        <f t="array" ref="Y18:Y34">TRANSPOSE(F3:V3)</f>
        <v>2</v>
      </c>
      <c r="Z18" t="e">
        <f ca="1"/>
        <v>#NAME?</v>
      </c>
      <c r="AA18" t="e">
        <f ca="1"/>
        <v>#NAME?</v>
      </c>
      <c r="AB18" t="e">
        <f t="shared" ref="AB18:AB34" ca="1" si="0">Z18/AA18</f>
        <v>#NAME?</v>
      </c>
      <c r="AC18" t="e">
        <f t="shared" ref="AC18:AC34" ca="1" si="1">TDIST(ABS(AB18),$Z$13,2)</f>
        <v>#NAME?</v>
      </c>
      <c r="AD18" t="e">
        <f t="shared" ref="AD18:AD34" ca="1" si="2">Z18-TINV(AD$10,$Z$13)*AA18</f>
        <v>#NAME?</v>
      </c>
      <c r="AE18" t="e">
        <f t="shared" ref="AE18:AE34" ca="1" si="3">Z18+TINV(AD$10,$Z$13)*AA18</f>
        <v>#NAME?</v>
      </c>
      <c r="AF18" t="e">
        <f ca="1">VIF(F4:V45,1)</f>
        <v>#NAME?</v>
      </c>
    </row>
    <row r="19" spans="1:32" x14ac:dyDescent="0.25">
      <c r="F19" s="333">
        <v>1</v>
      </c>
      <c r="G19" s="334">
        <v>0</v>
      </c>
      <c r="H19" s="334">
        <v>0</v>
      </c>
      <c r="I19" s="334">
        <v>0</v>
      </c>
      <c r="J19" s="334">
        <v>0</v>
      </c>
      <c r="K19" s="334">
        <v>0</v>
      </c>
      <c r="L19" s="334">
        <v>0</v>
      </c>
      <c r="M19" s="334">
        <v>0</v>
      </c>
      <c r="N19" s="334">
        <v>0</v>
      </c>
      <c r="O19" s="334">
        <v>0</v>
      </c>
      <c r="P19" s="334">
        <v>0</v>
      </c>
      <c r="Q19" s="334">
        <v>0</v>
      </c>
      <c r="R19" s="334">
        <v>0</v>
      </c>
      <c r="S19" s="333">
        <v>1</v>
      </c>
      <c r="T19" s="335">
        <v>0</v>
      </c>
      <c r="U19" s="334">
        <v>0</v>
      </c>
      <c r="V19" s="335">
        <v>0</v>
      </c>
      <c r="W19" s="336">
        <v>207</v>
      </c>
      <c r="Y19">
        <v>3</v>
      </c>
      <c r="Z19" t="e">
        <f ca="1"/>
        <v>#NAME?</v>
      </c>
      <c r="AA19" t="e">
        <f ca="1"/>
        <v>#NAME?</v>
      </c>
      <c r="AB19" t="e">
        <f t="shared" ca="1" si="0"/>
        <v>#NAME?</v>
      </c>
      <c r="AC19" t="e">
        <f t="shared" ca="1" si="1"/>
        <v>#NAME?</v>
      </c>
      <c r="AD19" t="e">
        <f t="shared" ca="1" si="2"/>
        <v>#NAME?</v>
      </c>
      <c r="AE19" t="e">
        <f t="shared" ca="1" si="3"/>
        <v>#NAME?</v>
      </c>
      <c r="AF19" t="e">
        <f ca="1">VIF(F4:V45,2)</f>
        <v>#NAME?</v>
      </c>
    </row>
    <row r="20" spans="1:32" x14ac:dyDescent="0.25">
      <c r="F20" s="333">
        <v>0</v>
      </c>
      <c r="G20" s="334">
        <v>1</v>
      </c>
      <c r="H20" s="334">
        <v>0</v>
      </c>
      <c r="I20" s="334">
        <v>0</v>
      </c>
      <c r="J20" s="334">
        <v>0</v>
      </c>
      <c r="K20" s="334">
        <v>0</v>
      </c>
      <c r="L20" s="334">
        <v>0</v>
      </c>
      <c r="M20" s="334">
        <v>0</v>
      </c>
      <c r="N20" s="334">
        <v>0</v>
      </c>
      <c r="O20" s="334">
        <v>0</v>
      </c>
      <c r="P20" s="334">
        <v>0</v>
      </c>
      <c r="Q20" s="334">
        <v>0</v>
      </c>
      <c r="R20" s="334">
        <v>0</v>
      </c>
      <c r="S20" s="333">
        <v>1</v>
      </c>
      <c r="T20" s="335">
        <v>0</v>
      </c>
      <c r="U20" s="334">
        <v>0</v>
      </c>
      <c r="V20" s="335">
        <v>0</v>
      </c>
      <c r="W20" s="336">
        <v>261</v>
      </c>
      <c r="Y20">
        <v>4</v>
      </c>
      <c r="Z20" t="e">
        <f ca="1"/>
        <v>#NAME?</v>
      </c>
      <c r="AA20" t="e">
        <f ca="1"/>
        <v>#NAME?</v>
      </c>
      <c r="AB20" t="e">
        <f t="shared" ca="1" si="0"/>
        <v>#NAME?</v>
      </c>
      <c r="AC20" t="e">
        <f t="shared" ca="1" si="1"/>
        <v>#NAME?</v>
      </c>
      <c r="AD20" t="e">
        <f t="shared" ca="1" si="2"/>
        <v>#NAME?</v>
      </c>
      <c r="AE20" t="e">
        <f t="shared" ca="1" si="3"/>
        <v>#NAME?</v>
      </c>
      <c r="AF20" t="e">
        <f ca="1">VIF(F4:V45,3)</f>
        <v>#NAME?</v>
      </c>
    </row>
    <row r="21" spans="1:32" x14ac:dyDescent="0.25">
      <c r="F21" s="333">
        <v>0</v>
      </c>
      <c r="G21" s="334">
        <v>0</v>
      </c>
      <c r="H21" s="334">
        <v>1</v>
      </c>
      <c r="I21" s="334">
        <v>0</v>
      </c>
      <c r="J21" s="334">
        <v>0</v>
      </c>
      <c r="K21" s="334">
        <v>0</v>
      </c>
      <c r="L21" s="334">
        <v>0</v>
      </c>
      <c r="M21" s="334">
        <v>0</v>
      </c>
      <c r="N21" s="334">
        <v>0</v>
      </c>
      <c r="O21" s="334">
        <v>0</v>
      </c>
      <c r="P21" s="334">
        <v>0</v>
      </c>
      <c r="Q21" s="334">
        <v>0</v>
      </c>
      <c r="R21" s="334">
        <v>0</v>
      </c>
      <c r="S21" s="333">
        <v>1</v>
      </c>
      <c r="T21" s="335">
        <v>0</v>
      </c>
      <c r="U21" s="334">
        <v>0</v>
      </c>
      <c r="V21" s="335">
        <v>0</v>
      </c>
      <c r="W21" s="336">
        <v>286</v>
      </c>
      <c r="Y21">
        <v>5</v>
      </c>
      <c r="Z21" t="e">
        <f ca="1"/>
        <v>#NAME?</v>
      </c>
      <c r="AA21" t="e">
        <f ca="1"/>
        <v>#NAME?</v>
      </c>
      <c r="AB21" t="e">
        <f t="shared" ca="1" si="0"/>
        <v>#NAME?</v>
      </c>
      <c r="AC21" t="e">
        <f t="shared" ca="1" si="1"/>
        <v>#NAME?</v>
      </c>
      <c r="AD21" t="e">
        <f t="shared" ca="1" si="2"/>
        <v>#NAME?</v>
      </c>
      <c r="AE21" t="e">
        <f t="shared" ca="1" si="3"/>
        <v>#NAME?</v>
      </c>
      <c r="AF21" t="e">
        <f ca="1">VIF(F4:V45,4)</f>
        <v>#NAME?</v>
      </c>
    </row>
    <row r="22" spans="1:32" x14ac:dyDescent="0.25">
      <c r="F22" s="333">
        <v>0</v>
      </c>
      <c r="G22" s="334">
        <v>0</v>
      </c>
      <c r="H22" s="334">
        <v>0</v>
      </c>
      <c r="I22" s="334">
        <v>1</v>
      </c>
      <c r="J22" s="334">
        <v>0</v>
      </c>
      <c r="K22" s="334">
        <v>0</v>
      </c>
      <c r="L22" s="334">
        <v>0</v>
      </c>
      <c r="M22" s="334">
        <v>0</v>
      </c>
      <c r="N22" s="334">
        <v>0</v>
      </c>
      <c r="O22" s="334">
        <v>0</v>
      </c>
      <c r="P22" s="334">
        <v>0</v>
      </c>
      <c r="Q22" s="334">
        <v>0</v>
      </c>
      <c r="R22" s="334">
        <v>0</v>
      </c>
      <c r="S22" s="333">
        <v>1</v>
      </c>
      <c r="T22" s="335">
        <v>0</v>
      </c>
      <c r="U22" s="340">
        <v>0</v>
      </c>
      <c r="V22" s="338">
        <v>0</v>
      </c>
      <c r="W22" s="336">
        <v>306</v>
      </c>
      <c r="Y22">
        <v>6</v>
      </c>
      <c r="Z22" t="e">
        <f ca="1"/>
        <v>#NAME?</v>
      </c>
      <c r="AA22" t="e">
        <f ca="1"/>
        <v>#NAME?</v>
      </c>
      <c r="AB22" t="e">
        <f t="shared" ca="1" si="0"/>
        <v>#NAME?</v>
      </c>
      <c r="AC22" t="e">
        <f t="shared" ca="1" si="1"/>
        <v>#NAME?</v>
      </c>
      <c r="AD22" t="e">
        <f t="shared" ca="1" si="2"/>
        <v>#NAME?</v>
      </c>
      <c r="AE22" t="e">
        <f t="shared" ca="1" si="3"/>
        <v>#NAME?</v>
      </c>
      <c r="AF22" t="e">
        <f ca="1">VIF(F4:V45,5)</f>
        <v>#NAME?</v>
      </c>
    </row>
    <row r="23" spans="1:32" x14ac:dyDescent="0.25">
      <c r="F23" s="333">
        <v>0</v>
      </c>
      <c r="G23" s="334">
        <v>0</v>
      </c>
      <c r="H23" s="334">
        <v>0</v>
      </c>
      <c r="I23" s="334">
        <v>0</v>
      </c>
      <c r="J23" s="334">
        <v>1</v>
      </c>
      <c r="K23" s="334">
        <v>0</v>
      </c>
      <c r="L23" s="334">
        <v>0</v>
      </c>
      <c r="M23" s="334">
        <v>0</v>
      </c>
      <c r="N23" s="334">
        <v>0</v>
      </c>
      <c r="O23" s="334">
        <v>0</v>
      </c>
      <c r="P23" s="334">
        <v>0</v>
      </c>
      <c r="Q23" s="334">
        <v>0</v>
      </c>
      <c r="R23" s="334">
        <v>0</v>
      </c>
      <c r="S23" s="333">
        <v>1</v>
      </c>
      <c r="T23" s="335">
        <v>0</v>
      </c>
      <c r="U23" s="330">
        <v>1</v>
      </c>
      <c r="V23" s="331">
        <v>0</v>
      </c>
      <c r="W23" s="332">
        <v>172</v>
      </c>
      <c r="Y23">
        <v>7</v>
      </c>
      <c r="Z23" t="e">
        <f ca="1"/>
        <v>#NAME?</v>
      </c>
      <c r="AA23" t="e">
        <f ca="1"/>
        <v>#NAME?</v>
      </c>
      <c r="AB23" t="e">
        <f t="shared" ca="1" si="0"/>
        <v>#NAME?</v>
      </c>
      <c r="AC23" t="e">
        <f t="shared" ca="1" si="1"/>
        <v>#NAME?</v>
      </c>
      <c r="AD23" t="e">
        <f t="shared" ca="1" si="2"/>
        <v>#NAME?</v>
      </c>
      <c r="AE23" t="e">
        <f t="shared" ca="1" si="3"/>
        <v>#NAME?</v>
      </c>
      <c r="AF23" t="e">
        <f ca="1">VIF(F4:V45,6)</f>
        <v>#NAME?</v>
      </c>
    </row>
    <row r="24" spans="1:32" x14ac:dyDescent="0.25">
      <c r="F24" s="333">
        <v>0</v>
      </c>
      <c r="G24" s="334">
        <v>0</v>
      </c>
      <c r="H24" s="334">
        <v>0</v>
      </c>
      <c r="I24" s="334">
        <v>0</v>
      </c>
      <c r="J24" s="334">
        <v>0</v>
      </c>
      <c r="K24" s="334">
        <v>1</v>
      </c>
      <c r="L24" s="334">
        <v>0</v>
      </c>
      <c r="M24" s="334">
        <v>0</v>
      </c>
      <c r="N24" s="334">
        <v>0</v>
      </c>
      <c r="O24" s="334">
        <v>0</v>
      </c>
      <c r="P24" s="334">
        <v>0</v>
      </c>
      <c r="Q24" s="334">
        <v>0</v>
      </c>
      <c r="R24" s="334">
        <v>0</v>
      </c>
      <c r="S24" s="333">
        <v>1</v>
      </c>
      <c r="T24" s="335">
        <v>0</v>
      </c>
      <c r="U24" s="334">
        <v>1</v>
      </c>
      <c r="V24" s="335">
        <v>0</v>
      </c>
      <c r="W24" s="336">
        <v>116</v>
      </c>
      <c r="Y24">
        <v>8</v>
      </c>
      <c r="Z24" t="e">
        <f ca="1"/>
        <v>#NAME?</v>
      </c>
      <c r="AA24" t="e">
        <f ca="1"/>
        <v>#NAME?</v>
      </c>
      <c r="AB24" t="e">
        <f t="shared" ca="1" si="0"/>
        <v>#NAME?</v>
      </c>
      <c r="AC24" t="e">
        <f t="shared" ca="1" si="1"/>
        <v>#NAME?</v>
      </c>
      <c r="AD24" t="e">
        <f t="shared" ca="1" si="2"/>
        <v>#NAME?</v>
      </c>
      <c r="AE24" t="e">
        <f t="shared" ca="1" si="3"/>
        <v>#NAME?</v>
      </c>
      <c r="AF24" t="e">
        <f ca="1">VIF(F4:V45,7)</f>
        <v>#NAME?</v>
      </c>
    </row>
    <row r="25" spans="1:32" x14ac:dyDescent="0.25">
      <c r="F25" s="333">
        <v>0</v>
      </c>
      <c r="G25" s="334">
        <v>0</v>
      </c>
      <c r="H25" s="334">
        <v>0</v>
      </c>
      <c r="I25" s="334">
        <v>0</v>
      </c>
      <c r="J25" s="334">
        <v>0</v>
      </c>
      <c r="K25" s="334">
        <v>0</v>
      </c>
      <c r="L25" s="334">
        <v>1</v>
      </c>
      <c r="M25" s="334">
        <v>0</v>
      </c>
      <c r="N25" s="334">
        <v>0</v>
      </c>
      <c r="O25" s="334">
        <v>0</v>
      </c>
      <c r="P25" s="334">
        <v>0</v>
      </c>
      <c r="Q25" s="334">
        <v>0</v>
      </c>
      <c r="R25" s="334">
        <v>0</v>
      </c>
      <c r="S25" s="333">
        <v>1</v>
      </c>
      <c r="T25" s="335">
        <v>0</v>
      </c>
      <c r="U25" s="334">
        <v>1</v>
      </c>
      <c r="V25" s="335">
        <v>0</v>
      </c>
      <c r="W25" s="336">
        <v>168</v>
      </c>
      <c r="Y25">
        <v>9</v>
      </c>
      <c r="Z25" t="e">
        <f ca="1"/>
        <v>#NAME?</v>
      </c>
      <c r="AA25" t="e">
        <f ca="1"/>
        <v>#NAME?</v>
      </c>
      <c r="AB25" t="e">
        <f t="shared" ca="1" si="0"/>
        <v>#NAME?</v>
      </c>
      <c r="AC25" t="e">
        <f t="shared" ca="1" si="1"/>
        <v>#NAME?</v>
      </c>
      <c r="AD25" t="e">
        <f t="shared" ca="1" si="2"/>
        <v>#NAME?</v>
      </c>
      <c r="AE25" t="e">
        <f t="shared" ca="1" si="3"/>
        <v>#NAME?</v>
      </c>
      <c r="AF25" t="e">
        <f ca="1">VIF(F4:V45,8)</f>
        <v>#NAME?</v>
      </c>
    </row>
    <row r="26" spans="1:32" x14ac:dyDescent="0.25">
      <c r="F26" s="333">
        <v>0</v>
      </c>
      <c r="G26" s="334">
        <v>0</v>
      </c>
      <c r="H26" s="334">
        <v>0</v>
      </c>
      <c r="I26" s="334">
        <v>0</v>
      </c>
      <c r="J26" s="334">
        <v>0</v>
      </c>
      <c r="K26" s="334">
        <v>0</v>
      </c>
      <c r="L26" s="334">
        <v>0</v>
      </c>
      <c r="M26" s="334">
        <v>1</v>
      </c>
      <c r="N26" s="334">
        <v>0</v>
      </c>
      <c r="O26" s="334">
        <v>0</v>
      </c>
      <c r="P26" s="334">
        <v>0</v>
      </c>
      <c r="Q26" s="334">
        <v>0</v>
      </c>
      <c r="R26" s="334">
        <v>0</v>
      </c>
      <c r="S26" s="333">
        <v>1</v>
      </c>
      <c r="T26" s="335">
        <v>0</v>
      </c>
      <c r="U26" s="334">
        <v>1</v>
      </c>
      <c r="V26" s="335">
        <v>0</v>
      </c>
      <c r="W26" s="336">
        <v>81</v>
      </c>
      <c r="Y26">
        <v>10</v>
      </c>
      <c r="Z26" t="e">
        <f ca="1"/>
        <v>#NAME?</v>
      </c>
      <c r="AA26" t="e">
        <f ca="1"/>
        <v>#NAME?</v>
      </c>
      <c r="AB26" t="e">
        <f t="shared" ca="1" si="0"/>
        <v>#NAME?</v>
      </c>
      <c r="AC26" t="e">
        <f t="shared" ca="1" si="1"/>
        <v>#NAME?</v>
      </c>
      <c r="AD26" t="e">
        <f t="shared" ca="1" si="2"/>
        <v>#NAME?</v>
      </c>
      <c r="AE26" t="e">
        <f t="shared" ca="1" si="3"/>
        <v>#NAME?</v>
      </c>
      <c r="AF26" t="e">
        <f ca="1">VIF(F4:V45,9)</f>
        <v>#NAME?</v>
      </c>
    </row>
    <row r="27" spans="1:32" x14ac:dyDescent="0.25">
      <c r="F27" s="333">
        <v>0</v>
      </c>
      <c r="G27" s="334">
        <v>0</v>
      </c>
      <c r="H27" s="334">
        <v>0</v>
      </c>
      <c r="I27" s="334">
        <v>0</v>
      </c>
      <c r="J27" s="334">
        <v>0</v>
      </c>
      <c r="K27" s="334">
        <v>0</v>
      </c>
      <c r="L27" s="334">
        <v>0</v>
      </c>
      <c r="M27" s="334">
        <v>0</v>
      </c>
      <c r="N27" s="334">
        <v>1</v>
      </c>
      <c r="O27" s="334">
        <v>0</v>
      </c>
      <c r="P27" s="334">
        <v>0</v>
      </c>
      <c r="Q27" s="334">
        <v>0</v>
      </c>
      <c r="R27" s="334">
        <v>0</v>
      </c>
      <c r="S27" s="333">
        <v>1</v>
      </c>
      <c r="T27" s="335">
        <v>0</v>
      </c>
      <c r="U27" s="340">
        <v>1</v>
      </c>
      <c r="V27" s="338">
        <v>0</v>
      </c>
      <c r="W27" s="339">
        <v>54</v>
      </c>
      <c r="Y27">
        <v>11</v>
      </c>
      <c r="Z27" t="e">
        <f ca="1"/>
        <v>#NAME?</v>
      </c>
      <c r="AA27" t="e">
        <f ca="1"/>
        <v>#NAME?</v>
      </c>
      <c r="AB27" t="e">
        <f t="shared" ca="1" si="0"/>
        <v>#NAME?</v>
      </c>
      <c r="AC27" t="e">
        <f t="shared" ca="1" si="1"/>
        <v>#NAME?</v>
      </c>
      <c r="AD27" t="e">
        <f t="shared" ca="1" si="2"/>
        <v>#NAME?</v>
      </c>
      <c r="AE27" t="e">
        <f t="shared" ca="1" si="3"/>
        <v>#NAME?</v>
      </c>
      <c r="AF27" t="e">
        <f ca="1">VIF(F4:V45,10)</f>
        <v>#NAME?</v>
      </c>
    </row>
    <row r="28" spans="1:32" x14ac:dyDescent="0.25">
      <c r="F28" s="333">
        <v>0</v>
      </c>
      <c r="G28" s="334">
        <v>0</v>
      </c>
      <c r="H28" s="334">
        <v>0</v>
      </c>
      <c r="I28" s="334">
        <v>0</v>
      </c>
      <c r="J28" s="334">
        <v>0</v>
      </c>
      <c r="K28" s="334">
        <v>0</v>
      </c>
      <c r="L28" s="334">
        <v>0</v>
      </c>
      <c r="M28" s="334">
        <v>0</v>
      </c>
      <c r="N28" s="334">
        <v>0</v>
      </c>
      <c r="O28" s="334">
        <v>1</v>
      </c>
      <c r="P28" s="334">
        <v>0</v>
      </c>
      <c r="Q28" s="334">
        <v>0</v>
      </c>
      <c r="R28" s="334">
        <v>0</v>
      </c>
      <c r="S28" s="333">
        <v>1</v>
      </c>
      <c r="T28" s="335">
        <v>0</v>
      </c>
      <c r="U28" s="334">
        <v>0</v>
      </c>
      <c r="V28" s="335">
        <v>1</v>
      </c>
      <c r="W28" s="336">
        <v>124</v>
      </c>
      <c r="Y28">
        <v>12</v>
      </c>
      <c r="Z28" t="e">
        <f ca="1"/>
        <v>#NAME?</v>
      </c>
      <c r="AA28" t="e">
        <f ca="1"/>
        <v>#NAME?</v>
      </c>
      <c r="AB28" t="e">
        <f t="shared" ca="1" si="0"/>
        <v>#NAME?</v>
      </c>
      <c r="AC28" t="e">
        <f t="shared" ca="1" si="1"/>
        <v>#NAME?</v>
      </c>
      <c r="AD28" t="e">
        <f t="shared" ca="1" si="2"/>
        <v>#NAME?</v>
      </c>
      <c r="AE28" t="e">
        <f t="shared" ca="1" si="3"/>
        <v>#NAME?</v>
      </c>
      <c r="AF28" t="e">
        <f ca="1">VIF(F4:V45,11)</f>
        <v>#NAME?</v>
      </c>
    </row>
    <row r="29" spans="1:32" x14ac:dyDescent="0.25">
      <c r="F29" s="333">
        <v>0</v>
      </c>
      <c r="G29" s="334">
        <v>0</v>
      </c>
      <c r="H29" s="334">
        <v>0</v>
      </c>
      <c r="I29" s="334">
        <v>0</v>
      </c>
      <c r="J29" s="334">
        <v>0</v>
      </c>
      <c r="K29" s="334">
        <v>0</v>
      </c>
      <c r="L29" s="334">
        <v>0</v>
      </c>
      <c r="M29" s="334">
        <v>0</v>
      </c>
      <c r="N29" s="334">
        <v>0</v>
      </c>
      <c r="O29" s="334">
        <v>0</v>
      </c>
      <c r="P29" s="334">
        <v>1</v>
      </c>
      <c r="Q29" s="334">
        <v>0</v>
      </c>
      <c r="R29" s="334">
        <v>0</v>
      </c>
      <c r="S29" s="333">
        <v>1</v>
      </c>
      <c r="T29" s="335">
        <v>0</v>
      </c>
      <c r="U29" s="334">
        <v>0</v>
      </c>
      <c r="V29" s="335">
        <v>1</v>
      </c>
      <c r="W29" s="336">
        <v>266</v>
      </c>
      <c r="Y29">
        <v>13</v>
      </c>
      <c r="Z29" t="e">
        <f ca="1"/>
        <v>#NAME?</v>
      </c>
      <c r="AA29" t="e">
        <f ca="1"/>
        <v>#NAME?</v>
      </c>
      <c r="AB29" t="e">
        <f t="shared" ca="1" si="0"/>
        <v>#NAME?</v>
      </c>
      <c r="AC29" t="e">
        <f t="shared" ca="1" si="1"/>
        <v>#NAME?</v>
      </c>
      <c r="AD29" t="e">
        <f t="shared" ca="1" si="2"/>
        <v>#NAME?</v>
      </c>
      <c r="AE29" t="e">
        <f t="shared" ca="1" si="3"/>
        <v>#NAME?</v>
      </c>
      <c r="AF29" t="e">
        <f ca="1">VIF(F4:V45,12)</f>
        <v>#NAME?</v>
      </c>
    </row>
    <row r="30" spans="1:32" x14ac:dyDescent="0.25">
      <c r="F30" s="333">
        <v>0</v>
      </c>
      <c r="G30" s="334">
        <v>0</v>
      </c>
      <c r="H30" s="334">
        <v>0</v>
      </c>
      <c r="I30" s="334">
        <v>0</v>
      </c>
      <c r="J30" s="334">
        <v>0</v>
      </c>
      <c r="K30" s="334">
        <v>0</v>
      </c>
      <c r="L30" s="334">
        <v>0</v>
      </c>
      <c r="M30" s="334">
        <v>0</v>
      </c>
      <c r="N30" s="334">
        <v>0</v>
      </c>
      <c r="O30" s="334">
        <v>0</v>
      </c>
      <c r="P30" s="334">
        <v>0</v>
      </c>
      <c r="Q30" s="334">
        <v>1</v>
      </c>
      <c r="R30" s="334">
        <v>0</v>
      </c>
      <c r="S30" s="333">
        <v>1</v>
      </c>
      <c r="T30" s="335">
        <v>0</v>
      </c>
      <c r="U30" s="334">
        <v>0</v>
      </c>
      <c r="V30" s="335">
        <v>1</v>
      </c>
      <c r="W30" s="336">
        <v>207</v>
      </c>
      <c r="Y30">
        <v>14</v>
      </c>
      <c r="Z30" t="e">
        <f ca="1"/>
        <v>#NAME?</v>
      </c>
      <c r="AA30" t="e">
        <f ca="1"/>
        <v>#NAME?</v>
      </c>
      <c r="AB30" t="e">
        <f t="shared" ca="1" si="0"/>
        <v>#NAME?</v>
      </c>
      <c r="AC30" t="e">
        <f t="shared" ca="1" si="1"/>
        <v>#NAME?</v>
      </c>
      <c r="AD30" t="e">
        <f t="shared" ca="1" si="2"/>
        <v>#NAME?</v>
      </c>
      <c r="AE30" t="e">
        <f t="shared" ca="1" si="3"/>
        <v>#NAME?</v>
      </c>
      <c r="AF30" t="e">
        <f ca="1">VIF(F4:V45,13)</f>
        <v>#NAME?</v>
      </c>
    </row>
    <row r="31" spans="1:32" x14ac:dyDescent="0.25">
      <c r="F31" s="333">
        <v>0</v>
      </c>
      <c r="G31" s="334">
        <v>0</v>
      </c>
      <c r="H31" s="334">
        <v>0</v>
      </c>
      <c r="I31" s="334">
        <v>0</v>
      </c>
      <c r="J31" s="334">
        <v>0</v>
      </c>
      <c r="K31" s="334">
        <v>0</v>
      </c>
      <c r="L31" s="334">
        <v>0</v>
      </c>
      <c r="M31" s="334">
        <v>0</v>
      </c>
      <c r="N31" s="334">
        <v>0</v>
      </c>
      <c r="O31" s="334">
        <v>0</v>
      </c>
      <c r="P31" s="334">
        <v>0</v>
      </c>
      <c r="Q31" s="334">
        <v>0</v>
      </c>
      <c r="R31" s="334">
        <v>1</v>
      </c>
      <c r="S31" s="333">
        <v>1</v>
      </c>
      <c r="T31" s="335">
        <v>0</v>
      </c>
      <c r="U31" s="334">
        <v>0</v>
      </c>
      <c r="V31" s="335">
        <v>1</v>
      </c>
      <c r="W31" s="336">
        <v>285</v>
      </c>
      <c r="Y31">
        <v>2</v>
      </c>
      <c r="Z31" t="e">
        <f ca="1"/>
        <v>#NAME?</v>
      </c>
      <c r="AA31" t="e">
        <f ca="1"/>
        <v>#NAME?</v>
      </c>
      <c r="AB31" t="e">
        <f t="shared" ca="1" si="0"/>
        <v>#NAME?</v>
      </c>
      <c r="AC31" t="e">
        <f t="shared" ca="1" si="1"/>
        <v>#NAME?</v>
      </c>
      <c r="AD31" t="e">
        <f t="shared" ca="1" si="2"/>
        <v>#NAME?</v>
      </c>
      <c r="AE31" t="e">
        <f t="shared" ca="1" si="3"/>
        <v>#NAME?</v>
      </c>
      <c r="AF31" t="e">
        <f ca="1">VIF(F4:V45,14)</f>
        <v>#NAME?</v>
      </c>
    </row>
    <row r="32" spans="1:32" x14ac:dyDescent="0.25">
      <c r="F32" s="329">
        <v>0</v>
      </c>
      <c r="G32" s="330">
        <v>0</v>
      </c>
      <c r="H32" s="330">
        <v>0</v>
      </c>
      <c r="I32" s="330">
        <v>0</v>
      </c>
      <c r="J32" s="330">
        <v>0</v>
      </c>
      <c r="K32" s="330">
        <v>0</v>
      </c>
      <c r="L32" s="330">
        <v>0</v>
      </c>
      <c r="M32" s="330">
        <v>0</v>
      </c>
      <c r="N32" s="330">
        <v>0</v>
      </c>
      <c r="O32" s="330">
        <v>0</v>
      </c>
      <c r="P32" s="330">
        <v>0</v>
      </c>
      <c r="Q32" s="330">
        <v>0</v>
      </c>
      <c r="R32" s="330">
        <v>0</v>
      </c>
      <c r="S32" s="329">
        <v>0</v>
      </c>
      <c r="T32" s="331">
        <v>1</v>
      </c>
      <c r="U32" s="330">
        <v>0</v>
      </c>
      <c r="V32" s="331">
        <v>0</v>
      </c>
      <c r="W32" s="332">
        <v>442</v>
      </c>
      <c r="Y32">
        <v>3</v>
      </c>
      <c r="Z32" t="e">
        <f ca="1"/>
        <v>#NAME?</v>
      </c>
      <c r="AA32" t="e">
        <f ca="1"/>
        <v>#NAME?</v>
      </c>
      <c r="AB32" t="e">
        <f t="shared" ca="1" si="0"/>
        <v>#NAME?</v>
      </c>
      <c r="AC32" t="e">
        <f t="shared" ca="1" si="1"/>
        <v>#NAME?</v>
      </c>
      <c r="AD32" t="e">
        <f t="shared" ca="1" si="2"/>
        <v>#NAME?</v>
      </c>
      <c r="AE32" t="e">
        <f t="shared" ca="1" si="3"/>
        <v>#NAME?</v>
      </c>
      <c r="AF32" t="e">
        <f ca="1">VIF(F4:V45,15)</f>
        <v>#NAME?</v>
      </c>
    </row>
    <row r="33" spans="6:32" x14ac:dyDescent="0.25">
      <c r="F33" s="333">
        <v>1</v>
      </c>
      <c r="G33" s="334">
        <v>0</v>
      </c>
      <c r="H33" s="334">
        <v>0</v>
      </c>
      <c r="I33" s="334">
        <v>0</v>
      </c>
      <c r="J33" s="334">
        <v>0</v>
      </c>
      <c r="K33" s="334">
        <v>0</v>
      </c>
      <c r="L33" s="334">
        <v>0</v>
      </c>
      <c r="M33" s="334">
        <v>0</v>
      </c>
      <c r="N33" s="334">
        <v>0</v>
      </c>
      <c r="O33" s="334">
        <v>0</v>
      </c>
      <c r="P33" s="334">
        <v>0</v>
      </c>
      <c r="Q33" s="334">
        <v>0</v>
      </c>
      <c r="R33" s="334">
        <v>0</v>
      </c>
      <c r="S33" s="333">
        <v>0</v>
      </c>
      <c r="T33" s="335">
        <v>1</v>
      </c>
      <c r="U33" s="334">
        <v>0</v>
      </c>
      <c r="V33" s="335">
        <v>0</v>
      </c>
      <c r="W33" s="336">
        <v>341</v>
      </c>
      <c r="Y33" t="str">
        <v>mid</v>
      </c>
      <c r="Z33" t="e">
        <f ca="1"/>
        <v>#NAME?</v>
      </c>
      <c r="AA33" t="e">
        <f ca="1"/>
        <v>#NAME?</v>
      </c>
      <c r="AB33" t="e">
        <f t="shared" ca="1" si="0"/>
        <v>#NAME?</v>
      </c>
      <c r="AC33" t="e">
        <f t="shared" ca="1" si="1"/>
        <v>#NAME?</v>
      </c>
      <c r="AD33" t="e">
        <f t="shared" ca="1" si="2"/>
        <v>#NAME?</v>
      </c>
      <c r="AE33" t="e">
        <f t="shared" ca="1" si="3"/>
        <v>#NAME?</v>
      </c>
      <c r="AF33" t="e">
        <f ca="1">VIF(F4:V45,16)</f>
        <v>#NAME?</v>
      </c>
    </row>
    <row r="34" spans="6:32" x14ac:dyDescent="0.25">
      <c r="F34" s="333">
        <v>0</v>
      </c>
      <c r="G34" s="334">
        <v>1</v>
      </c>
      <c r="H34" s="334">
        <v>0</v>
      </c>
      <c r="I34" s="334">
        <v>0</v>
      </c>
      <c r="J34" s="334">
        <v>0</v>
      </c>
      <c r="K34" s="334">
        <v>0</v>
      </c>
      <c r="L34" s="334">
        <v>0</v>
      </c>
      <c r="M34" s="334">
        <v>0</v>
      </c>
      <c r="N34" s="334">
        <v>0</v>
      </c>
      <c r="O34" s="334">
        <v>0</v>
      </c>
      <c r="P34" s="334">
        <v>0</v>
      </c>
      <c r="Q34" s="334">
        <v>0</v>
      </c>
      <c r="R34" s="334">
        <v>0</v>
      </c>
      <c r="S34" s="333">
        <v>0</v>
      </c>
      <c r="T34" s="335">
        <v>1</v>
      </c>
      <c r="U34" s="334">
        <v>0</v>
      </c>
      <c r="V34" s="335">
        <v>0</v>
      </c>
      <c r="W34" s="336">
        <v>384</v>
      </c>
      <c r="Y34" s="185" t="str">
        <v>old</v>
      </c>
      <c r="Z34" s="185" t="e">
        <f ca="1"/>
        <v>#NAME?</v>
      </c>
      <c r="AA34" s="185" t="e">
        <f ca="1"/>
        <v>#NAME?</v>
      </c>
      <c r="AB34" s="185" t="e">
        <f t="shared" ca="1" si="0"/>
        <v>#NAME?</v>
      </c>
      <c r="AC34" s="185" t="e">
        <f t="shared" ca="1" si="1"/>
        <v>#NAME?</v>
      </c>
      <c r="AD34" s="185" t="e">
        <f t="shared" ca="1" si="2"/>
        <v>#NAME?</v>
      </c>
      <c r="AE34" s="185" t="e">
        <f t="shared" ca="1" si="3"/>
        <v>#NAME?</v>
      </c>
      <c r="AF34" s="185" t="e">
        <f ca="1">VIF(F4:V45,17)</f>
        <v>#NAME?</v>
      </c>
    </row>
    <row r="35" spans="6:32" x14ac:dyDescent="0.25">
      <c r="F35" s="333">
        <v>0</v>
      </c>
      <c r="G35" s="334">
        <v>0</v>
      </c>
      <c r="H35" s="334">
        <v>1</v>
      </c>
      <c r="I35" s="334">
        <v>0</v>
      </c>
      <c r="J35" s="334">
        <v>0</v>
      </c>
      <c r="K35" s="334">
        <v>0</v>
      </c>
      <c r="L35" s="334">
        <v>0</v>
      </c>
      <c r="M35" s="334">
        <v>0</v>
      </c>
      <c r="N35" s="334">
        <v>0</v>
      </c>
      <c r="O35" s="334">
        <v>0</v>
      </c>
      <c r="P35" s="334">
        <v>0</v>
      </c>
      <c r="Q35" s="334">
        <v>0</v>
      </c>
      <c r="R35" s="334">
        <v>0</v>
      </c>
      <c r="S35" s="333">
        <v>0</v>
      </c>
      <c r="T35" s="335">
        <v>1</v>
      </c>
      <c r="U35" s="334">
        <v>0</v>
      </c>
      <c r="V35" s="335">
        <v>0</v>
      </c>
      <c r="W35" s="336">
        <v>401</v>
      </c>
    </row>
    <row r="36" spans="6:32" x14ac:dyDescent="0.25">
      <c r="F36" s="333">
        <v>0</v>
      </c>
      <c r="G36" s="334">
        <v>0</v>
      </c>
      <c r="H36" s="334">
        <v>0</v>
      </c>
      <c r="I36" s="334">
        <v>1</v>
      </c>
      <c r="J36" s="334">
        <v>0</v>
      </c>
      <c r="K36" s="334">
        <v>0</v>
      </c>
      <c r="L36" s="334">
        <v>0</v>
      </c>
      <c r="M36" s="334">
        <v>0</v>
      </c>
      <c r="N36" s="334">
        <v>0</v>
      </c>
      <c r="O36" s="334">
        <v>0</v>
      </c>
      <c r="P36" s="334">
        <v>0</v>
      </c>
      <c r="Q36" s="334">
        <v>0</v>
      </c>
      <c r="R36" s="334">
        <v>0</v>
      </c>
      <c r="S36" s="333">
        <v>0</v>
      </c>
      <c r="T36" s="335">
        <v>1</v>
      </c>
      <c r="U36" s="340">
        <v>0</v>
      </c>
      <c r="V36" s="338">
        <v>0</v>
      </c>
      <c r="W36" s="339">
        <v>432</v>
      </c>
    </row>
    <row r="37" spans="6:32" x14ac:dyDescent="0.25">
      <c r="F37" s="333">
        <v>0</v>
      </c>
      <c r="G37" s="334">
        <v>0</v>
      </c>
      <c r="H37" s="334">
        <v>0</v>
      </c>
      <c r="I37" s="334">
        <v>0</v>
      </c>
      <c r="J37" s="334">
        <v>1</v>
      </c>
      <c r="K37" s="334">
        <v>0</v>
      </c>
      <c r="L37" s="334">
        <v>0</v>
      </c>
      <c r="M37" s="334">
        <v>0</v>
      </c>
      <c r="N37" s="334">
        <v>0</v>
      </c>
      <c r="O37" s="334">
        <v>0</v>
      </c>
      <c r="P37" s="334">
        <v>0</v>
      </c>
      <c r="Q37" s="334">
        <v>0</v>
      </c>
      <c r="R37" s="334">
        <v>0</v>
      </c>
      <c r="S37" s="333">
        <v>0</v>
      </c>
      <c r="T37" s="335">
        <v>1</v>
      </c>
      <c r="U37" s="330">
        <v>1</v>
      </c>
      <c r="V37" s="331">
        <v>0</v>
      </c>
      <c r="W37" s="332">
        <v>307</v>
      </c>
    </row>
    <row r="38" spans="6:32" x14ac:dyDescent="0.25">
      <c r="F38" s="333">
        <v>0</v>
      </c>
      <c r="G38" s="334">
        <v>0</v>
      </c>
      <c r="H38" s="334">
        <v>0</v>
      </c>
      <c r="I38" s="334">
        <v>0</v>
      </c>
      <c r="J38" s="334">
        <v>0</v>
      </c>
      <c r="K38" s="334">
        <v>1</v>
      </c>
      <c r="L38" s="334">
        <v>0</v>
      </c>
      <c r="M38" s="334">
        <v>0</v>
      </c>
      <c r="N38" s="334">
        <v>0</v>
      </c>
      <c r="O38" s="334">
        <v>0</v>
      </c>
      <c r="P38" s="334">
        <v>0</v>
      </c>
      <c r="Q38" s="334">
        <v>0</v>
      </c>
      <c r="R38" s="334">
        <v>0</v>
      </c>
      <c r="S38" s="333">
        <v>0</v>
      </c>
      <c r="T38" s="335">
        <v>1</v>
      </c>
      <c r="U38" s="334">
        <v>1</v>
      </c>
      <c r="V38" s="335">
        <v>0</v>
      </c>
      <c r="W38" s="336">
        <v>425</v>
      </c>
      <c r="Y38" t="s">
        <v>774</v>
      </c>
    </row>
    <row r="39" spans="6:32" x14ac:dyDescent="0.25">
      <c r="F39" s="333">
        <v>0</v>
      </c>
      <c r="G39" s="334">
        <v>0</v>
      </c>
      <c r="H39" s="334">
        <v>0</v>
      </c>
      <c r="I39" s="334">
        <v>0</v>
      </c>
      <c r="J39" s="334">
        <v>0</v>
      </c>
      <c r="K39" s="334">
        <v>0</v>
      </c>
      <c r="L39" s="334">
        <v>1</v>
      </c>
      <c r="M39" s="334">
        <v>0</v>
      </c>
      <c r="N39" s="334">
        <v>0</v>
      </c>
      <c r="O39" s="334">
        <v>0</v>
      </c>
      <c r="P39" s="334">
        <v>0</v>
      </c>
      <c r="Q39" s="334">
        <v>0</v>
      </c>
      <c r="R39" s="334">
        <v>0</v>
      </c>
      <c r="S39" s="333">
        <v>0</v>
      </c>
      <c r="T39" s="335">
        <v>1</v>
      </c>
      <c r="U39" s="334">
        <v>1</v>
      </c>
      <c r="V39" s="335">
        <v>0</v>
      </c>
      <c r="W39" s="336">
        <v>378</v>
      </c>
    </row>
    <row r="40" spans="6:32" ht="15.75" thickBot="1" x14ac:dyDescent="0.3">
      <c r="F40" s="333">
        <v>0</v>
      </c>
      <c r="G40" s="334">
        <v>0</v>
      </c>
      <c r="H40" s="334">
        <v>0</v>
      </c>
      <c r="I40" s="334">
        <v>0</v>
      </c>
      <c r="J40" s="334">
        <v>0</v>
      </c>
      <c r="K40" s="334">
        <v>0</v>
      </c>
      <c r="L40" s="334">
        <v>0</v>
      </c>
      <c r="M40" s="334">
        <v>1</v>
      </c>
      <c r="N40" s="334">
        <v>0</v>
      </c>
      <c r="O40" s="334">
        <v>0</v>
      </c>
      <c r="P40" s="334">
        <v>0</v>
      </c>
      <c r="Q40" s="334">
        <v>0</v>
      </c>
      <c r="R40" s="334">
        <v>0</v>
      </c>
      <c r="S40" s="333">
        <v>0</v>
      </c>
      <c r="T40" s="335">
        <v>1</v>
      </c>
      <c r="U40" s="334">
        <v>1</v>
      </c>
      <c r="V40" s="335">
        <v>0</v>
      </c>
      <c r="W40" s="336">
        <v>193</v>
      </c>
      <c r="Y40" s="179" t="s">
        <v>496</v>
      </c>
      <c r="Z40" s="179"/>
      <c r="AB40" s="179"/>
      <c r="AC40" s="179"/>
    </row>
    <row r="41" spans="6:32" ht="15.75" thickTop="1" x14ac:dyDescent="0.25">
      <c r="F41" s="333">
        <v>0</v>
      </c>
      <c r="G41" s="334">
        <v>0</v>
      </c>
      <c r="H41" s="334">
        <v>0</v>
      </c>
      <c r="I41" s="334">
        <v>0</v>
      </c>
      <c r="J41" s="334">
        <v>0</v>
      </c>
      <c r="K41" s="334">
        <v>0</v>
      </c>
      <c r="L41" s="334">
        <v>0</v>
      </c>
      <c r="M41" s="334">
        <v>0</v>
      </c>
      <c r="N41" s="334">
        <v>1</v>
      </c>
      <c r="O41" s="334">
        <v>0</v>
      </c>
      <c r="P41" s="334">
        <v>0</v>
      </c>
      <c r="Q41" s="334">
        <v>0</v>
      </c>
      <c r="R41" s="334">
        <v>0</v>
      </c>
      <c r="S41" s="333">
        <v>0</v>
      </c>
      <c r="T41" s="335">
        <v>1</v>
      </c>
      <c r="U41" s="340">
        <v>1</v>
      </c>
      <c r="V41" s="338">
        <v>0</v>
      </c>
      <c r="W41" s="339">
        <v>285</v>
      </c>
      <c r="Y41" t="s">
        <v>82</v>
      </c>
      <c r="Z41" t="e">
        <f ca="1">SQRT(Z42)</f>
        <v>#NAME?</v>
      </c>
      <c r="AB41" t="s">
        <v>142</v>
      </c>
      <c r="AC41" t="e">
        <f ca="1">Z45*LN(AA50/Z45)+2*(Z49+1)</f>
        <v>#NAME?</v>
      </c>
    </row>
    <row r="42" spans="6:32" x14ac:dyDescent="0.25">
      <c r="F42" s="333">
        <v>0</v>
      </c>
      <c r="G42" s="334">
        <v>0</v>
      </c>
      <c r="H42" s="334">
        <v>0</v>
      </c>
      <c r="I42" s="334">
        <v>0</v>
      </c>
      <c r="J42" s="334">
        <v>0</v>
      </c>
      <c r="K42" s="334">
        <v>0</v>
      </c>
      <c r="L42" s="334">
        <v>0</v>
      </c>
      <c r="M42" s="334">
        <v>0</v>
      </c>
      <c r="N42" s="334">
        <v>0</v>
      </c>
      <c r="O42" s="334">
        <v>1</v>
      </c>
      <c r="P42" s="334">
        <v>0</v>
      </c>
      <c r="Q42" s="334">
        <v>0</v>
      </c>
      <c r="R42" s="334">
        <v>0</v>
      </c>
      <c r="S42" s="333">
        <v>0</v>
      </c>
      <c r="T42" s="335">
        <v>1</v>
      </c>
      <c r="U42" s="334">
        <v>0</v>
      </c>
      <c r="V42" s="335">
        <v>1</v>
      </c>
      <c r="W42" s="336">
        <v>365</v>
      </c>
      <c r="Y42" t="s">
        <v>80</v>
      </c>
      <c r="Z42" t="e">
        <f ca="1">AA49/AA51</f>
        <v>#NAME?</v>
      </c>
      <c r="AB42" t="s">
        <v>143</v>
      </c>
      <c r="AC42" t="e">
        <f ca="1">AC41+2*(Z49+2)*(Z49+3)/(Z45-Z49-3)</f>
        <v>#NAME?</v>
      </c>
    </row>
    <row r="43" spans="6:32" x14ac:dyDescent="0.25">
      <c r="F43" s="333">
        <v>0</v>
      </c>
      <c r="G43" s="334">
        <v>0</v>
      </c>
      <c r="H43" s="334">
        <v>0</v>
      </c>
      <c r="I43" s="334">
        <v>0</v>
      </c>
      <c r="J43" s="334">
        <v>0</v>
      </c>
      <c r="K43" s="334">
        <v>0</v>
      </c>
      <c r="L43" s="334">
        <v>0</v>
      </c>
      <c r="M43" s="334">
        <v>0</v>
      </c>
      <c r="N43" s="334">
        <v>0</v>
      </c>
      <c r="O43" s="334">
        <v>0</v>
      </c>
      <c r="P43" s="334">
        <v>1</v>
      </c>
      <c r="Q43" s="334">
        <v>0</v>
      </c>
      <c r="R43" s="334">
        <v>0</v>
      </c>
      <c r="S43" s="333">
        <v>0</v>
      </c>
      <c r="T43" s="335">
        <v>1</v>
      </c>
      <c r="U43" s="334">
        <v>0</v>
      </c>
      <c r="V43" s="335">
        <v>1</v>
      </c>
      <c r="W43" s="336">
        <v>382</v>
      </c>
      <c r="Y43" t="s">
        <v>83</v>
      </c>
      <c r="Z43" t="e">
        <f ca="1">1-(1-Z42)*(Z45-1)/(Z45-Z49-1)</f>
        <v>#NAME?</v>
      </c>
      <c r="AB43" s="185" t="s">
        <v>647</v>
      </c>
      <c r="AC43" s="185" t="e">
        <f ca="1">Z45*LN(AA50/Z45)+(Z49+1)*LN(Z45)</f>
        <v>#NAME?</v>
      </c>
    </row>
    <row r="44" spans="6:32" x14ac:dyDescent="0.25">
      <c r="F44" s="333">
        <v>0</v>
      </c>
      <c r="G44" s="334">
        <v>0</v>
      </c>
      <c r="H44" s="334">
        <v>0</v>
      </c>
      <c r="I44" s="334">
        <v>0</v>
      </c>
      <c r="J44" s="334">
        <v>0</v>
      </c>
      <c r="K44" s="334">
        <v>0</v>
      </c>
      <c r="L44" s="334">
        <v>0</v>
      </c>
      <c r="M44" s="334">
        <v>0</v>
      </c>
      <c r="N44" s="334">
        <v>0</v>
      </c>
      <c r="O44" s="334">
        <v>0</v>
      </c>
      <c r="P44" s="334">
        <v>0</v>
      </c>
      <c r="Q44" s="334">
        <v>1</v>
      </c>
      <c r="R44" s="334">
        <v>0</v>
      </c>
      <c r="S44" s="333">
        <v>0</v>
      </c>
      <c r="T44" s="335">
        <v>1</v>
      </c>
      <c r="U44" s="334">
        <v>0</v>
      </c>
      <c r="V44" s="335">
        <v>1</v>
      </c>
      <c r="W44" s="336">
        <v>289</v>
      </c>
      <c r="Y44" t="s">
        <v>9</v>
      </c>
      <c r="Z44" t="e">
        <f ca="1">SQRT(AB50)</f>
        <v>#NAME?</v>
      </c>
    </row>
    <row r="45" spans="6:32" x14ac:dyDescent="0.25">
      <c r="F45" s="337">
        <v>0</v>
      </c>
      <c r="G45" s="340">
        <v>0</v>
      </c>
      <c r="H45" s="340">
        <v>0</v>
      </c>
      <c r="I45" s="340">
        <v>0</v>
      </c>
      <c r="J45" s="340">
        <v>0</v>
      </c>
      <c r="K45" s="340">
        <v>0</v>
      </c>
      <c r="L45" s="340">
        <v>0</v>
      </c>
      <c r="M45" s="340">
        <v>0</v>
      </c>
      <c r="N45" s="340">
        <v>0</v>
      </c>
      <c r="O45" s="340">
        <v>0</v>
      </c>
      <c r="P45" s="340">
        <v>0</v>
      </c>
      <c r="Q45" s="340">
        <v>0</v>
      </c>
      <c r="R45" s="340">
        <v>1</v>
      </c>
      <c r="S45" s="337">
        <v>0</v>
      </c>
      <c r="T45" s="338">
        <v>1</v>
      </c>
      <c r="U45" s="340">
        <v>0</v>
      </c>
      <c r="V45" s="338">
        <v>1</v>
      </c>
      <c r="W45" s="339">
        <v>471</v>
      </c>
      <c r="Y45" s="185" t="s">
        <v>49</v>
      </c>
      <c r="Z45" s="185">
        <f>COUNT(W4:W45)</f>
        <v>42</v>
      </c>
    </row>
    <row r="47" spans="6:32" ht="15.75" thickBot="1" x14ac:dyDescent="0.3">
      <c r="Y47" t="s">
        <v>84</v>
      </c>
      <c r="AC47" s="321" t="s">
        <v>17</v>
      </c>
      <c r="AD47" s="321">
        <v>0.05</v>
      </c>
    </row>
    <row r="48" spans="6:32" ht="15.75" thickTop="1" x14ac:dyDescent="0.25">
      <c r="Y48" s="191"/>
      <c r="Z48" s="191" t="s">
        <v>37</v>
      </c>
      <c r="AA48" s="191" t="s">
        <v>76</v>
      </c>
      <c r="AB48" s="191" t="s">
        <v>78</v>
      </c>
      <c r="AC48" s="191" t="s">
        <v>68</v>
      </c>
      <c r="AD48" s="191" t="s">
        <v>43</v>
      </c>
      <c r="AE48" s="191" t="s">
        <v>111</v>
      </c>
    </row>
    <row r="49" spans="25:32" x14ac:dyDescent="0.25">
      <c r="Y49" t="s">
        <v>77</v>
      </c>
      <c r="Z49">
        <f>COUNT(F4:R4)</f>
        <v>13</v>
      </c>
      <c r="AA49" t="e">
        <f ca="1">DEVSQ(MMULT(DESIGN(F4:R45),Z54:Z67))</f>
        <v>#NAME?</v>
      </c>
      <c r="AB49" t="e">
        <f ca="1">AA49/Z49</f>
        <v>#NAME?</v>
      </c>
      <c r="AC49" t="e">
        <f ca="1">AB49/AB50</f>
        <v>#NAME?</v>
      </c>
      <c r="AD49" t="e">
        <f ca="1">FDIST(AC49,Z49,Z50)</f>
        <v>#NAME?</v>
      </c>
      <c r="AE49" s="321" t="e">
        <f ca="1">IF(AD49&lt;AD47,"yes","no")</f>
        <v>#NAME?</v>
      </c>
    </row>
    <row r="50" spans="25:32" x14ac:dyDescent="0.25">
      <c r="Y50" t="s">
        <v>85</v>
      </c>
      <c r="Z50">
        <f>Z51-Z49</f>
        <v>28</v>
      </c>
      <c r="AA50" t="e">
        <f ca="1">AA51-AA49</f>
        <v>#NAME?</v>
      </c>
      <c r="AB50" t="e">
        <f ca="1">AA50/Z50</f>
        <v>#NAME?</v>
      </c>
    </row>
    <row r="51" spans="25:32" x14ac:dyDescent="0.25">
      <c r="Y51" s="185" t="s">
        <v>1</v>
      </c>
      <c r="Z51" s="185">
        <f>Z45-1</f>
        <v>41</v>
      </c>
      <c r="AA51" s="185">
        <f>DEVSQ(W4:W45)</f>
        <v>765790.4761904761</v>
      </c>
      <c r="AB51" s="185"/>
      <c r="AC51" s="185"/>
      <c r="AD51" s="185"/>
      <c r="AE51" s="185"/>
    </row>
    <row r="52" spans="25:32" ht="15.75" thickBot="1" x14ac:dyDescent="0.3"/>
    <row r="53" spans="25:32" ht="15.75" thickTop="1" x14ac:dyDescent="0.25">
      <c r="Y53" s="191"/>
      <c r="Z53" s="191" t="s">
        <v>494</v>
      </c>
      <c r="AA53" s="191" t="s">
        <v>183</v>
      </c>
      <c r="AB53" s="191" t="s">
        <v>38</v>
      </c>
      <c r="AC53" s="191" t="s">
        <v>43</v>
      </c>
      <c r="AD53" s="191" t="s">
        <v>14</v>
      </c>
      <c r="AE53" s="191" t="s">
        <v>15</v>
      </c>
      <c r="AF53" s="191" t="s">
        <v>646</v>
      </c>
    </row>
    <row r="54" spans="25:32" x14ac:dyDescent="0.25">
      <c r="Y54" t="s">
        <v>86</v>
      </c>
      <c r="Z54" t="e">
        <f t="array" aca="1" ref="Z54:AA67" ca="1">RegCoeff(F4:R45,W4:W45)</f>
        <v>#NAME?</v>
      </c>
      <c r="AA54" t="e">
        <f ca="1"/>
        <v>#NAME?</v>
      </c>
      <c r="AB54" t="e">
        <f ca="1">Z54/AA54</f>
        <v>#NAME?</v>
      </c>
      <c r="AC54" t="e">
        <f ca="1">TDIST(ABS(AB54),$Z$50,2)</f>
        <v>#NAME?</v>
      </c>
      <c r="AD54" t="e">
        <f ca="1">Z54-TINV(AD$47,$Z$50)*AA54</f>
        <v>#NAME?</v>
      </c>
      <c r="AE54" t="e">
        <f ca="1">Z54+TINV(AD$47,$Z$50)*AA54</f>
        <v>#NAME?</v>
      </c>
    </row>
    <row r="55" spans="25:32" x14ac:dyDescent="0.25">
      <c r="Y55">
        <f t="array" ref="Y55:Y67">TRANSPOSE(F3:R3)</f>
        <v>2</v>
      </c>
      <c r="Z55" t="e">
        <f ca="1"/>
        <v>#NAME?</v>
      </c>
      <c r="AA55" t="e">
        <f ca="1"/>
        <v>#NAME?</v>
      </c>
      <c r="AB55" t="e">
        <f t="shared" ref="AB55:AB67" ca="1" si="4">Z55/AA55</f>
        <v>#NAME?</v>
      </c>
      <c r="AC55" t="e">
        <f t="shared" ref="AC55:AC67" ca="1" si="5">TDIST(ABS(AB55),$Z$50,2)</f>
        <v>#NAME?</v>
      </c>
      <c r="AD55" t="e">
        <f t="shared" ref="AD55:AD67" ca="1" si="6">Z55-TINV(AD$47,$Z$50)*AA55</f>
        <v>#NAME?</v>
      </c>
      <c r="AE55" t="e">
        <f t="shared" ref="AE55:AE67" ca="1" si="7">Z55+TINV(AD$47,$Z$50)*AA55</f>
        <v>#NAME?</v>
      </c>
      <c r="AF55" t="e">
        <f ca="1">VIF(F4:R45,1)</f>
        <v>#NAME?</v>
      </c>
    </row>
    <row r="56" spans="25:32" x14ac:dyDescent="0.25">
      <c r="Y56">
        <v>3</v>
      </c>
      <c r="Z56" t="e">
        <f ca="1"/>
        <v>#NAME?</v>
      </c>
      <c r="AA56" t="e">
        <f ca="1"/>
        <v>#NAME?</v>
      </c>
      <c r="AB56" t="e">
        <f t="shared" ca="1" si="4"/>
        <v>#NAME?</v>
      </c>
      <c r="AC56" t="e">
        <f t="shared" ca="1" si="5"/>
        <v>#NAME?</v>
      </c>
      <c r="AD56" t="e">
        <f t="shared" ca="1" si="6"/>
        <v>#NAME?</v>
      </c>
      <c r="AE56" t="e">
        <f t="shared" ca="1" si="7"/>
        <v>#NAME?</v>
      </c>
      <c r="AF56" t="e">
        <f ca="1">VIF(F4:R45,2)</f>
        <v>#NAME?</v>
      </c>
    </row>
    <row r="57" spans="25:32" x14ac:dyDescent="0.25">
      <c r="Y57">
        <v>4</v>
      </c>
      <c r="Z57" t="e">
        <f ca="1"/>
        <v>#NAME?</v>
      </c>
      <c r="AA57" t="e">
        <f ca="1"/>
        <v>#NAME?</v>
      </c>
      <c r="AB57" t="e">
        <f t="shared" ca="1" si="4"/>
        <v>#NAME?</v>
      </c>
      <c r="AC57" t="e">
        <f t="shared" ca="1" si="5"/>
        <v>#NAME?</v>
      </c>
      <c r="AD57" t="e">
        <f t="shared" ca="1" si="6"/>
        <v>#NAME?</v>
      </c>
      <c r="AE57" t="e">
        <f t="shared" ca="1" si="7"/>
        <v>#NAME?</v>
      </c>
      <c r="AF57" t="e">
        <f ca="1">VIF(F4:R45,3)</f>
        <v>#NAME?</v>
      </c>
    </row>
    <row r="58" spans="25:32" x14ac:dyDescent="0.25">
      <c r="Y58">
        <v>5</v>
      </c>
      <c r="Z58" t="e">
        <f ca="1"/>
        <v>#NAME?</v>
      </c>
      <c r="AA58" t="e">
        <f ca="1"/>
        <v>#NAME?</v>
      </c>
      <c r="AB58" t="e">
        <f t="shared" ca="1" si="4"/>
        <v>#NAME?</v>
      </c>
      <c r="AC58" t="e">
        <f t="shared" ca="1" si="5"/>
        <v>#NAME?</v>
      </c>
      <c r="AD58" t="e">
        <f t="shared" ca="1" si="6"/>
        <v>#NAME?</v>
      </c>
      <c r="AE58" t="e">
        <f t="shared" ca="1" si="7"/>
        <v>#NAME?</v>
      </c>
      <c r="AF58" t="e">
        <f ca="1">VIF(F4:R45,4)</f>
        <v>#NAME?</v>
      </c>
    </row>
    <row r="59" spans="25:32" x14ac:dyDescent="0.25">
      <c r="Y59">
        <v>6</v>
      </c>
      <c r="Z59" t="e">
        <f ca="1"/>
        <v>#NAME?</v>
      </c>
      <c r="AA59" t="e">
        <f ca="1"/>
        <v>#NAME?</v>
      </c>
      <c r="AB59" t="e">
        <f t="shared" ca="1" si="4"/>
        <v>#NAME?</v>
      </c>
      <c r="AC59" t="e">
        <f t="shared" ca="1" si="5"/>
        <v>#NAME?</v>
      </c>
      <c r="AD59" t="e">
        <f t="shared" ca="1" si="6"/>
        <v>#NAME?</v>
      </c>
      <c r="AE59" t="e">
        <f t="shared" ca="1" si="7"/>
        <v>#NAME?</v>
      </c>
      <c r="AF59" t="e">
        <f ca="1">VIF(F4:R45,5)</f>
        <v>#NAME?</v>
      </c>
    </row>
    <row r="60" spans="25:32" x14ac:dyDescent="0.25">
      <c r="Y60">
        <v>7</v>
      </c>
      <c r="Z60" t="e">
        <f ca="1"/>
        <v>#NAME?</v>
      </c>
      <c r="AA60" t="e">
        <f ca="1"/>
        <v>#NAME?</v>
      </c>
      <c r="AB60" t="e">
        <f t="shared" ca="1" si="4"/>
        <v>#NAME?</v>
      </c>
      <c r="AC60" t="e">
        <f t="shared" ca="1" si="5"/>
        <v>#NAME?</v>
      </c>
      <c r="AD60" t="e">
        <f t="shared" ca="1" si="6"/>
        <v>#NAME?</v>
      </c>
      <c r="AE60" t="e">
        <f t="shared" ca="1" si="7"/>
        <v>#NAME?</v>
      </c>
      <c r="AF60" t="e">
        <f ca="1">VIF(F4:R45,6)</f>
        <v>#NAME?</v>
      </c>
    </row>
    <row r="61" spans="25:32" x14ac:dyDescent="0.25">
      <c r="Y61">
        <v>8</v>
      </c>
      <c r="Z61" t="e">
        <f ca="1"/>
        <v>#NAME?</v>
      </c>
      <c r="AA61" t="e">
        <f ca="1"/>
        <v>#NAME?</v>
      </c>
      <c r="AB61" t="e">
        <f t="shared" ca="1" si="4"/>
        <v>#NAME?</v>
      </c>
      <c r="AC61" t="e">
        <f t="shared" ca="1" si="5"/>
        <v>#NAME?</v>
      </c>
      <c r="AD61" t="e">
        <f t="shared" ca="1" si="6"/>
        <v>#NAME?</v>
      </c>
      <c r="AE61" t="e">
        <f t="shared" ca="1" si="7"/>
        <v>#NAME?</v>
      </c>
      <c r="AF61" t="e">
        <f ca="1">VIF(F4:R45,7)</f>
        <v>#NAME?</v>
      </c>
    </row>
    <row r="62" spans="25:32" x14ac:dyDescent="0.25">
      <c r="Y62">
        <v>9</v>
      </c>
      <c r="Z62" t="e">
        <f ca="1"/>
        <v>#NAME?</v>
      </c>
      <c r="AA62" t="e">
        <f ca="1"/>
        <v>#NAME?</v>
      </c>
      <c r="AB62" t="e">
        <f t="shared" ca="1" si="4"/>
        <v>#NAME?</v>
      </c>
      <c r="AC62" t="e">
        <f t="shared" ca="1" si="5"/>
        <v>#NAME?</v>
      </c>
      <c r="AD62" t="e">
        <f t="shared" ca="1" si="6"/>
        <v>#NAME?</v>
      </c>
      <c r="AE62" t="e">
        <f t="shared" ca="1" si="7"/>
        <v>#NAME?</v>
      </c>
      <c r="AF62" t="e">
        <f ca="1">VIF(F4:R45,8)</f>
        <v>#NAME?</v>
      </c>
    </row>
    <row r="63" spans="25:32" x14ac:dyDescent="0.25">
      <c r="Y63">
        <v>10</v>
      </c>
      <c r="Z63" t="e">
        <f ca="1"/>
        <v>#NAME?</v>
      </c>
      <c r="AA63" t="e">
        <f ca="1"/>
        <v>#NAME?</v>
      </c>
      <c r="AB63" t="e">
        <f t="shared" ca="1" si="4"/>
        <v>#NAME?</v>
      </c>
      <c r="AC63" t="e">
        <f t="shared" ca="1" si="5"/>
        <v>#NAME?</v>
      </c>
      <c r="AD63" t="e">
        <f t="shared" ca="1" si="6"/>
        <v>#NAME?</v>
      </c>
      <c r="AE63" t="e">
        <f t="shared" ca="1" si="7"/>
        <v>#NAME?</v>
      </c>
      <c r="AF63" t="e">
        <f ca="1">VIF(F4:R45,9)</f>
        <v>#NAME?</v>
      </c>
    </row>
    <row r="64" spans="25:32" x14ac:dyDescent="0.25">
      <c r="Y64">
        <v>11</v>
      </c>
      <c r="Z64" t="e">
        <f ca="1"/>
        <v>#NAME?</v>
      </c>
      <c r="AA64" t="e">
        <f ca="1"/>
        <v>#NAME?</v>
      </c>
      <c r="AB64" t="e">
        <f t="shared" ca="1" si="4"/>
        <v>#NAME?</v>
      </c>
      <c r="AC64" t="e">
        <f t="shared" ca="1" si="5"/>
        <v>#NAME?</v>
      </c>
      <c r="AD64" t="e">
        <f t="shared" ca="1" si="6"/>
        <v>#NAME?</v>
      </c>
      <c r="AE64" t="e">
        <f t="shared" ca="1" si="7"/>
        <v>#NAME?</v>
      </c>
      <c r="AF64" t="e">
        <f ca="1">VIF(F4:R45,10)</f>
        <v>#NAME?</v>
      </c>
    </row>
    <row r="65" spans="25:32" x14ac:dyDescent="0.25">
      <c r="Y65">
        <v>12</v>
      </c>
      <c r="Z65" t="e">
        <f ca="1"/>
        <v>#NAME?</v>
      </c>
      <c r="AA65" t="e">
        <f ca="1"/>
        <v>#NAME?</v>
      </c>
      <c r="AB65" t="e">
        <f t="shared" ca="1" si="4"/>
        <v>#NAME?</v>
      </c>
      <c r="AC65" t="e">
        <f t="shared" ca="1" si="5"/>
        <v>#NAME?</v>
      </c>
      <c r="AD65" t="e">
        <f t="shared" ca="1" si="6"/>
        <v>#NAME?</v>
      </c>
      <c r="AE65" t="e">
        <f t="shared" ca="1" si="7"/>
        <v>#NAME?</v>
      </c>
      <c r="AF65" t="e">
        <f ca="1">VIF(F4:R45,11)</f>
        <v>#NAME?</v>
      </c>
    </row>
    <row r="66" spans="25:32" x14ac:dyDescent="0.25">
      <c r="Y66">
        <v>13</v>
      </c>
      <c r="Z66" t="e">
        <f ca="1"/>
        <v>#NAME?</v>
      </c>
      <c r="AA66" t="e">
        <f ca="1"/>
        <v>#NAME?</v>
      </c>
      <c r="AB66" t="e">
        <f t="shared" ca="1" si="4"/>
        <v>#NAME?</v>
      </c>
      <c r="AC66" t="e">
        <f t="shared" ca="1" si="5"/>
        <v>#NAME?</v>
      </c>
      <c r="AD66" t="e">
        <f t="shared" ca="1" si="6"/>
        <v>#NAME?</v>
      </c>
      <c r="AE66" t="e">
        <f t="shared" ca="1" si="7"/>
        <v>#NAME?</v>
      </c>
      <c r="AF66" t="e">
        <f ca="1">VIF(F4:R45,12)</f>
        <v>#NAME?</v>
      </c>
    </row>
    <row r="67" spans="25:32" x14ac:dyDescent="0.25">
      <c r="Y67" s="185">
        <v>14</v>
      </c>
      <c r="Z67" s="185" t="e">
        <f ca="1"/>
        <v>#NAME?</v>
      </c>
      <c r="AA67" s="185" t="e">
        <f ca="1"/>
        <v>#NAME?</v>
      </c>
      <c r="AB67" s="185" t="e">
        <f t="shared" ca="1" si="4"/>
        <v>#NAME?</v>
      </c>
      <c r="AC67" s="185" t="e">
        <f t="shared" ca="1" si="5"/>
        <v>#NAME?</v>
      </c>
      <c r="AD67" s="185" t="e">
        <f t="shared" ca="1" si="6"/>
        <v>#NAME?</v>
      </c>
      <c r="AE67" s="185" t="e">
        <f t="shared" ca="1" si="7"/>
        <v>#NAME?</v>
      </c>
      <c r="AF67" s="185" t="e">
        <f ca="1">VIF(F4:R45,13)</f>
        <v>#NAME?</v>
      </c>
    </row>
    <row r="71" spans="25:32" x14ac:dyDescent="0.25">
      <c r="Y71" t="s">
        <v>775</v>
      </c>
    </row>
    <row r="73" spans="25:32" ht="15.75" thickBot="1" x14ac:dyDescent="0.3">
      <c r="Y73" s="179" t="s">
        <v>496</v>
      </c>
      <c r="Z73" s="179"/>
      <c r="AB73" s="179"/>
      <c r="AC73" s="179"/>
    </row>
    <row r="74" spans="25:32" ht="15.75" thickTop="1" x14ac:dyDescent="0.25">
      <c r="Y74" t="s">
        <v>82</v>
      </c>
      <c r="Z74" t="e">
        <f ca="1">SQRT(Z75)</f>
        <v>#NAME?</v>
      </c>
      <c r="AB74" t="s">
        <v>142</v>
      </c>
      <c r="AC74" t="e">
        <f ca="1">Z78*LN(AA83/Z78)+2*(Z82+1)</f>
        <v>#NAME?</v>
      </c>
    </row>
    <row r="75" spans="25:32" x14ac:dyDescent="0.25">
      <c r="Y75" t="s">
        <v>80</v>
      </c>
      <c r="Z75" t="e">
        <f ca="1">AA82/AA84</f>
        <v>#NAME?</v>
      </c>
      <c r="AB75" t="s">
        <v>143</v>
      </c>
      <c r="AC75" t="e">
        <f ca="1">AC74+2*(Z82+2)*(Z82+3)/(Z78-Z82-3)</f>
        <v>#NAME?</v>
      </c>
    </row>
    <row r="76" spans="25:32" x14ac:dyDescent="0.25">
      <c r="Y76" t="s">
        <v>83</v>
      </c>
      <c r="Z76" t="e">
        <f ca="1">1-(1-Z75)*(Z78-1)/(Z78-Z82-1)</f>
        <v>#NAME?</v>
      </c>
      <c r="AB76" s="185" t="s">
        <v>647</v>
      </c>
      <c r="AC76" s="185" t="e">
        <f ca="1">Z78*LN(AA83/Z78)+(Z82+1)*LN(Z78)</f>
        <v>#NAME?</v>
      </c>
    </row>
    <row r="77" spans="25:32" x14ac:dyDescent="0.25">
      <c r="Y77" t="s">
        <v>9</v>
      </c>
      <c r="Z77" t="e">
        <f ca="1">SQRT(AB83)</f>
        <v>#NAME?</v>
      </c>
    </row>
    <row r="78" spans="25:32" x14ac:dyDescent="0.25">
      <c r="Y78" s="185" t="s">
        <v>49</v>
      </c>
      <c r="Z78" s="185">
        <f>COUNT(W4:W45)</f>
        <v>42</v>
      </c>
    </row>
    <row r="80" spans="25:32" ht="15.75" thickBot="1" x14ac:dyDescent="0.3">
      <c r="Y80" t="s">
        <v>84</v>
      </c>
      <c r="AC80" s="321" t="s">
        <v>17</v>
      </c>
      <c r="AD80" s="321">
        <v>0.05</v>
      </c>
    </row>
    <row r="81" spans="25:32" ht="15.75" thickTop="1" x14ac:dyDescent="0.25">
      <c r="Y81" s="191"/>
      <c r="Z81" s="191" t="s">
        <v>37</v>
      </c>
      <c r="AA81" s="191" t="s">
        <v>76</v>
      </c>
      <c r="AB81" s="191" t="s">
        <v>78</v>
      </c>
      <c r="AC81" s="191" t="s">
        <v>68</v>
      </c>
      <c r="AD81" s="191" t="s">
        <v>43</v>
      </c>
      <c r="AE81" s="191" t="s">
        <v>111</v>
      </c>
    </row>
    <row r="82" spans="25:32" x14ac:dyDescent="0.25">
      <c r="Y82" t="s">
        <v>77</v>
      </c>
      <c r="Z82">
        <f>COUNT(S4:V4)</f>
        <v>4</v>
      </c>
      <c r="AA82" t="e">
        <f ca="1">DEVSQ(MMULT(DESIGN(S4:V45),Z87:Z91))</f>
        <v>#NAME?</v>
      </c>
      <c r="AB82" t="e">
        <f ca="1">AA82/Z82</f>
        <v>#NAME?</v>
      </c>
      <c r="AC82" t="e">
        <f ca="1">AB82/AB83</f>
        <v>#NAME?</v>
      </c>
      <c r="AD82" t="e">
        <f ca="1">FDIST(AC82,Z82,Z83)</f>
        <v>#NAME?</v>
      </c>
      <c r="AE82" s="321" t="e">
        <f ca="1">IF(AD82&lt;AD80,"yes","no")</f>
        <v>#NAME?</v>
      </c>
    </row>
    <row r="83" spans="25:32" x14ac:dyDescent="0.25">
      <c r="Y83" t="s">
        <v>85</v>
      </c>
      <c r="Z83">
        <f>Z84-Z82</f>
        <v>37</v>
      </c>
      <c r="AA83" t="e">
        <f ca="1">AA84-AA82</f>
        <v>#NAME?</v>
      </c>
      <c r="AB83" t="e">
        <f ca="1">AA83/Z83</f>
        <v>#NAME?</v>
      </c>
    </row>
    <row r="84" spans="25:32" x14ac:dyDescent="0.25">
      <c r="Y84" s="185" t="s">
        <v>1</v>
      </c>
      <c r="Z84" s="185">
        <f>Z78-1</f>
        <v>41</v>
      </c>
      <c r="AA84" s="185">
        <f>DEVSQ(W4:W45)</f>
        <v>765790.4761904761</v>
      </c>
      <c r="AB84" s="185"/>
      <c r="AC84" s="185"/>
      <c r="AD84" s="185"/>
      <c r="AE84" s="185"/>
    </row>
    <row r="85" spans="25:32" ht="15.75" thickBot="1" x14ac:dyDescent="0.3"/>
    <row r="86" spans="25:32" ht="15.75" thickTop="1" x14ac:dyDescent="0.25">
      <c r="Y86" s="191"/>
      <c r="Z86" s="191" t="s">
        <v>494</v>
      </c>
      <c r="AA86" s="191" t="s">
        <v>183</v>
      </c>
      <c r="AB86" s="191" t="s">
        <v>38</v>
      </c>
      <c r="AC86" s="191" t="s">
        <v>43</v>
      </c>
      <c r="AD86" s="191" t="s">
        <v>14</v>
      </c>
      <c r="AE86" s="191" t="s">
        <v>15</v>
      </c>
      <c r="AF86" s="191" t="s">
        <v>646</v>
      </c>
    </row>
    <row r="87" spans="25:32" x14ac:dyDescent="0.25">
      <c r="Y87" t="s">
        <v>86</v>
      </c>
      <c r="Z87" t="e">
        <f t="array" aca="1" ref="Z87:AA91" ca="1">RegCoeff(S4:V45,W4:W45)</f>
        <v>#NAME?</v>
      </c>
      <c r="AA87" t="e">
        <f ca="1"/>
        <v>#NAME?</v>
      </c>
      <c r="AB87" t="e">
        <f ca="1">Z87/AA87</f>
        <v>#NAME?</v>
      </c>
      <c r="AC87" t="e">
        <f ca="1">TDIST(ABS(AB87),$Z$83,2)</f>
        <v>#NAME?</v>
      </c>
      <c r="AD87" t="e">
        <f ca="1">Z87-TINV(AD$80,$Z$83)*AA87</f>
        <v>#NAME?</v>
      </c>
      <c r="AE87" t="e">
        <f ca="1">Z87+TINV(AD$80,$Z$83)*AA87</f>
        <v>#NAME?</v>
      </c>
    </row>
    <row r="88" spans="25:32" x14ac:dyDescent="0.25">
      <c r="Y88">
        <f t="array" ref="Y88:Y91">TRANSPOSE(S3:V3)</f>
        <v>2</v>
      </c>
      <c r="Z88" t="e">
        <f ca="1"/>
        <v>#NAME?</v>
      </c>
      <c r="AA88" t="e">
        <f ca="1"/>
        <v>#NAME?</v>
      </c>
      <c r="AB88" t="e">
        <f ca="1">Z88/AA88</f>
        <v>#NAME?</v>
      </c>
      <c r="AC88" t="e">
        <f ca="1">TDIST(ABS(AB88),$Z$83,2)</f>
        <v>#NAME?</v>
      </c>
      <c r="AD88" t="e">
        <f ca="1">Z88-TINV(AD$80,$Z$83)*AA88</f>
        <v>#NAME?</v>
      </c>
      <c r="AE88" t="e">
        <f ca="1">Z88+TINV(AD$80,$Z$83)*AA88</f>
        <v>#NAME?</v>
      </c>
      <c r="AF88" t="e">
        <f ca="1">VIF(S4:V45,1)</f>
        <v>#NAME?</v>
      </c>
    </row>
    <row r="89" spans="25:32" x14ac:dyDescent="0.25">
      <c r="Y89">
        <v>3</v>
      </c>
      <c r="Z89" t="e">
        <f ca="1"/>
        <v>#NAME?</v>
      </c>
      <c r="AA89" t="e">
        <f ca="1"/>
        <v>#NAME?</v>
      </c>
      <c r="AB89" t="e">
        <f ca="1">Z89/AA89</f>
        <v>#NAME?</v>
      </c>
      <c r="AC89" t="e">
        <f ca="1">TDIST(ABS(AB89),$Z$83,2)</f>
        <v>#NAME?</v>
      </c>
      <c r="AD89" t="e">
        <f ca="1">Z89-TINV(AD$80,$Z$83)*AA89</f>
        <v>#NAME?</v>
      </c>
      <c r="AE89" t="e">
        <f ca="1">Z89+TINV(AD$80,$Z$83)*AA89</f>
        <v>#NAME?</v>
      </c>
      <c r="AF89" t="e">
        <f ca="1">VIF(S4:V45,2)</f>
        <v>#NAME?</v>
      </c>
    </row>
    <row r="90" spans="25:32" x14ac:dyDescent="0.25">
      <c r="Y90" t="str">
        <v>mid</v>
      </c>
      <c r="Z90" t="e">
        <f ca="1"/>
        <v>#NAME?</v>
      </c>
      <c r="AA90" t="e">
        <f ca="1"/>
        <v>#NAME?</v>
      </c>
      <c r="AB90" t="e">
        <f ca="1">Z90/AA90</f>
        <v>#NAME?</v>
      </c>
      <c r="AC90" t="e">
        <f ca="1">TDIST(ABS(AB90),$Z$83,2)</f>
        <v>#NAME?</v>
      </c>
      <c r="AD90" t="e">
        <f ca="1">Z90-TINV(AD$80,$Z$83)*AA90</f>
        <v>#NAME?</v>
      </c>
      <c r="AE90" t="e">
        <f ca="1">Z90+TINV(AD$80,$Z$83)*AA90</f>
        <v>#NAME?</v>
      </c>
      <c r="AF90" t="e">
        <f ca="1">VIF(S4:V45,3)</f>
        <v>#NAME?</v>
      </c>
    </row>
    <row r="91" spans="25:32" x14ac:dyDescent="0.25">
      <c r="Y91" s="185" t="str">
        <v>old</v>
      </c>
      <c r="Z91" s="185" t="e">
        <f ca="1"/>
        <v>#NAME?</v>
      </c>
      <c r="AA91" s="185" t="e">
        <f ca="1"/>
        <v>#NAME?</v>
      </c>
      <c r="AB91" s="185" t="e">
        <f ca="1">Z91/AA91</f>
        <v>#NAME?</v>
      </c>
      <c r="AC91" s="185" t="e">
        <f ca="1">TDIST(ABS(AB91),$Z$83,2)</f>
        <v>#NAME?</v>
      </c>
      <c r="AD91" s="185" t="e">
        <f ca="1">Z91-TINV(AD$80,$Z$83)*AA91</f>
        <v>#NAME?</v>
      </c>
      <c r="AE91" s="185" t="e">
        <f ca="1">Z91+TINV(AD$80,$Z$83)*AA91</f>
        <v>#NAME?</v>
      </c>
      <c r="AF91" s="185" t="e">
        <f ca="1">VIF(S4:V45,4)</f>
        <v>#NAME?</v>
      </c>
    </row>
    <row r="94" spans="25:32" x14ac:dyDescent="0.25">
      <c r="Y94" t="s">
        <v>776</v>
      </c>
    </row>
    <row r="96" spans="25:32" ht="15.75" thickBot="1" x14ac:dyDescent="0.3">
      <c r="Y96" s="179" t="s">
        <v>496</v>
      </c>
      <c r="Z96" s="179"/>
      <c r="AB96" s="179"/>
      <c r="AC96" s="179"/>
    </row>
    <row r="97" spans="25:32" ht="15.75" thickTop="1" x14ac:dyDescent="0.25">
      <c r="Y97" t="s">
        <v>82</v>
      </c>
      <c r="Z97" t="e">
        <f ca="1">SQRT(Z98)</f>
        <v>#NAME?</v>
      </c>
      <c r="AB97" t="s">
        <v>142</v>
      </c>
      <c r="AC97" t="e">
        <f ca="1">Z101*LN(AA106/Z101)+2*(Z105+1)</f>
        <v>#NAME?</v>
      </c>
    </row>
    <row r="98" spans="25:32" x14ac:dyDescent="0.25">
      <c r="Y98" t="s">
        <v>80</v>
      </c>
      <c r="Z98" t="e">
        <f ca="1">AA105/AA107</f>
        <v>#NAME?</v>
      </c>
      <c r="AB98" t="s">
        <v>143</v>
      </c>
      <c r="AC98" t="e">
        <f ca="1">AC97+2*(Z105+2)*(Z105+3)/(Z101-Z105-3)</f>
        <v>#NAME?</v>
      </c>
    </row>
    <row r="99" spans="25:32" x14ac:dyDescent="0.25">
      <c r="Y99" t="s">
        <v>83</v>
      </c>
      <c r="Z99" t="e">
        <f ca="1">1-(1-Z98)*(Z101-1)/(Z101-Z105-1)</f>
        <v>#NAME?</v>
      </c>
      <c r="AB99" s="185" t="s">
        <v>647</v>
      </c>
      <c r="AC99" s="185" t="e">
        <f ca="1">Z101*LN(AA106/Z101)+(Z105+1)*LN(Z101)</f>
        <v>#NAME?</v>
      </c>
    </row>
    <row r="100" spans="25:32" x14ac:dyDescent="0.25">
      <c r="Y100" t="s">
        <v>9</v>
      </c>
      <c r="Z100" t="e">
        <f ca="1">SQRT(AB106)</f>
        <v>#NAME?</v>
      </c>
    </row>
    <row r="101" spans="25:32" x14ac:dyDescent="0.25">
      <c r="Y101" s="185" t="s">
        <v>49</v>
      </c>
      <c r="Z101" s="185">
        <f>COUNT(W4:W45)</f>
        <v>42</v>
      </c>
    </row>
    <row r="103" spans="25:32" ht="15.75" thickBot="1" x14ac:dyDescent="0.3">
      <c r="Y103" t="s">
        <v>84</v>
      </c>
      <c r="AC103" s="321" t="s">
        <v>17</v>
      </c>
      <c r="AD103" s="321">
        <v>0.05</v>
      </c>
    </row>
    <row r="104" spans="25:32" ht="15.75" thickTop="1" x14ac:dyDescent="0.25">
      <c r="Y104" s="191"/>
      <c r="Z104" s="191" t="s">
        <v>37</v>
      </c>
      <c r="AA104" s="191" t="s">
        <v>76</v>
      </c>
      <c r="AB104" s="191" t="s">
        <v>78</v>
      </c>
      <c r="AC104" s="191" t="s">
        <v>68</v>
      </c>
      <c r="AD104" s="191" t="s">
        <v>43</v>
      </c>
      <c r="AE104" s="191" t="s">
        <v>111</v>
      </c>
    </row>
    <row r="105" spans="25:32" x14ac:dyDescent="0.25">
      <c r="Y105" t="s">
        <v>77</v>
      </c>
      <c r="Z105">
        <f>COUNT(U4:V4)</f>
        <v>2</v>
      </c>
      <c r="AA105" t="e">
        <f ca="1">DEVSQ(MMULT(DESIGN(U4:V45),Z110:Z112))</f>
        <v>#NAME?</v>
      </c>
      <c r="AB105" t="e">
        <f ca="1">AA105/Z105</f>
        <v>#NAME?</v>
      </c>
      <c r="AC105" t="e">
        <f ca="1">AB105/AB106</f>
        <v>#NAME?</v>
      </c>
      <c r="AD105" t="e">
        <f ca="1">FDIST(AC105,Z105,Z106)</f>
        <v>#NAME?</v>
      </c>
      <c r="AE105" s="321" t="e">
        <f ca="1">IF(AD105&lt;AD103,"yes","no")</f>
        <v>#NAME?</v>
      </c>
    </row>
    <row r="106" spans="25:32" x14ac:dyDescent="0.25">
      <c r="Y106" t="s">
        <v>85</v>
      </c>
      <c r="Z106">
        <f>Z107-Z105</f>
        <v>39</v>
      </c>
      <c r="AA106" t="e">
        <f ca="1">AA107-AA105</f>
        <v>#NAME?</v>
      </c>
      <c r="AB106" t="e">
        <f ca="1">AA106/Z106</f>
        <v>#NAME?</v>
      </c>
    </row>
    <row r="107" spans="25:32" x14ac:dyDescent="0.25">
      <c r="Y107" s="185" t="s">
        <v>1</v>
      </c>
      <c r="Z107" s="185">
        <f>Z101-1</f>
        <v>41</v>
      </c>
      <c r="AA107" s="185">
        <f>DEVSQ(W4:W45)</f>
        <v>765790.4761904761</v>
      </c>
      <c r="AB107" s="185"/>
      <c r="AC107" s="185"/>
      <c r="AD107" s="185"/>
      <c r="AE107" s="185"/>
    </row>
    <row r="108" spans="25:32" ht="15.75" thickBot="1" x14ac:dyDescent="0.3"/>
    <row r="109" spans="25:32" ht="15.75" thickTop="1" x14ac:dyDescent="0.25">
      <c r="Y109" s="191"/>
      <c r="Z109" s="191" t="s">
        <v>494</v>
      </c>
      <c r="AA109" s="191" t="s">
        <v>183</v>
      </c>
      <c r="AB109" s="191" t="s">
        <v>38</v>
      </c>
      <c r="AC109" s="191" t="s">
        <v>43</v>
      </c>
      <c r="AD109" s="191" t="s">
        <v>14</v>
      </c>
      <c r="AE109" s="191" t="s">
        <v>15</v>
      </c>
      <c r="AF109" s="191" t="s">
        <v>646</v>
      </c>
    </row>
    <row r="110" spans="25:32" x14ac:dyDescent="0.25">
      <c r="Y110" t="s">
        <v>86</v>
      </c>
      <c r="Z110" t="e">
        <f t="array" aca="1" ref="Z110:AA112" ca="1">RegCoeff(U4:V45,W4:W45)</f>
        <v>#NAME?</v>
      </c>
      <c r="AA110" t="e">
        <f ca="1"/>
        <v>#NAME?</v>
      </c>
      <c r="AB110" t="e">
        <f ca="1">Z110/AA110</f>
        <v>#NAME?</v>
      </c>
      <c r="AC110" t="e">
        <f ca="1">TDIST(ABS(AB110),$Z$106,2)</f>
        <v>#NAME?</v>
      </c>
      <c r="AD110" t="e">
        <f ca="1">Z110-TINV(AD$103,$Z$106)*AA110</f>
        <v>#NAME?</v>
      </c>
      <c r="AE110" t="e">
        <f ca="1">Z110+TINV(AD$103,$Z$106)*AA110</f>
        <v>#NAME?</v>
      </c>
    </row>
    <row r="111" spans="25:32" x14ac:dyDescent="0.25">
      <c r="Y111" t="str">
        <f t="array" ref="Y111:Y112">TRANSPOSE(U3:V3)</f>
        <v>mid</v>
      </c>
      <c r="Z111" t="e">
        <f ca="1"/>
        <v>#NAME?</v>
      </c>
      <c r="AA111" t="e">
        <f ca="1"/>
        <v>#NAME?</v>
      </c>
      <c r="AB111" t="e">
        <f ca="1">Z111/AA111</f>
        <v>#NAME?</v>
      </c>
      <c r="AC111" t="e">
        <f ca="1">TDIST(ABS(AB111),$Z$106,2)</f>
        <v>#NAME?</v>
      </c>
      <c r="AD111" t="e">
        <f ca="1">Z111-TINV(AD$103,$Z$106)*AA111</f>
        <v>#NAME?</v>
      </c>
      <c r="AE111" t="e">
        <f ca="1">Z111+TINV(AD$103,$Z$106)*AA111</f>
        <v>#NAME?</v>
      </c>
      <c r="AF111" t="e">
        <f ca="1">VIF(U4:V45,1)</f>
        <v>#NAME?</v>
      </c>
    </row>
    <row r="112" spans="25:32" x14ac:dyDescent="0.25">
      <c r="Y112" s="185" t="str">
        <v>old</v>
      </c>
      <c r="Z112" s="185" t="e">
        <f ca="1"/>
        <v>#NAME?</v>
      </c>
      <c r="AA112" s="185" t="e">
        <f ca="1"/>
        <v>#NAME?</v>
      </c>
      <c r="AB112" s="185" t="e">
        <f ca="1">Z112/AA112</f>
        <v>#NAME?</v>
      </c>
      <c r="AC112" s="185" t="e">
        <f ca="1">TDIST(ABS(AB112),$Z$106,2)</f>
        <v>#NAME?</v>
      </c>
      <c r="AD112" s="185" t="e">
        <f ca="1">Z112-TINV(AD$103,$Z$106)*AA112</f>
        <v>#NAME?</v>
      </c>
      <c r="AE112" s="185" t="e">
        <f ca="1">Z112+TINV(AD$103,$Z$106)*AA112</f>
        <v>#NAME?</v>
      </c>
      <c r="AF112" s="185" t="e">
        <f ca="1">VIF(U4:V45,2)</f>
        <v>#NAME?</v>
      </c>
    </row>
    <row r="115" spans="25:31" x14ac:dyDescent="0.25">
      <c r="Y115" t="s">
        <v>777</v>
      </c>
    </row>
    <row r="117" spans="25:31" ht="15.75" thickBot="1" x14ac:dyDescent="0.3">
      <c r="Y117" s="179" t="s">
        <v>496</v>
      </c>
      <c r="Z117" s="179"/>
      <c r="AB117" s="179"/>
      <c r="AC117" s="179"/>
    </row>
    <row r="118" spans="25:31" ht="15.75" thickTop="1" x14ac:dyDescent="0.25">
      <c r="Y118" t="s">
        <v>82</v>
      </c>
      <c r="Z118" t="e">
        <f ca="1">SQRT(Z119)</f>
        <v>#NAME?</v>
      </c>
      <c r="AB118" t="s">
        <v>142</v>
      </c>
      <c r="AC118" t="e">
        <f ca="1">Z122*LN(AA127/Z122)+2*(Z126+1)</f>
        <v>#NAME?</v>
      </c>
    </row>
    <row r="119" spans="25:31" x14ac:dyDescent="0.25">
      <c r="Y119" t="s">
        <v>80</v>
      </c>
      <c r="Z119" t="e">
        <f ca="1">AA126/AA128</f>
        <v>#NAME?</v>
      </c>
      <c r="AB119" t="s">
        <v>143</v>
      </c>
      <c r="AC119" t="e">
        <f ca="1">AC118+2*(Z126+2)*(Z126+3)/(Z122-Z126-3)</f>
        <v>#NAME?</v>
      </c>
    </row>
    <row r="120" spans="25:31" x14ac:dyDescent="0.25">
      <c r="Y120" t="s">
        <v>83</v>
      </c>
      <c r="Z120" t="e">
        <f ca="1">1-(1-Z119)*(Z122-1)/(Z122-Z126-1)</f>
        <v>#NAME?</v>
      </c>
      <c r="AB120" s="185" t="s">
        <v>647</v>
      </c>
      <c r="AC120" s="185" t="e">
        <f ca="1">Z122*LN(AA127/Z122)+(Z126+1)*LN(Z122)</f>
        <v>#NAME?</v>
      </c>
    </row>
    <row r="121" spans="25:31" x14ac:dyDescent="0.25">
      <c r="Y121" t="s">
        <v>9</v>
      </c>
      <c r="Z121" t="e">
        <f ca="1">SQRT(AB127)</f>
        <v>#NAME?</v>
      </c>
    </row>
    <row r="122" spans="25:31" x14ac:dyDescent="0.25">
      <c r="Y122" s="185" t="s">
        <v>49</v>
      </c>
      <c r="Z122" s="185">
        <f>COUNT(W4:W45)</f>
        <v>42</v>
      </c>
    </row>
    <row r="124" spans="25:31" ht="15.75" thickBot="1" x14ac:dyDescent="0.3">
      <c r="Y124" t="s">
        <v>84</v>
      </c>
      <c r="AC124" s="321" t="s">
        <v>17</v>
      </c>
      <c r="AD124" s="321">
        <v>0.05</v>
      </c>
    </row>
    <row r="125" spans="25:31" ht="15.75" thickTop="1" x14ac:dyDescent="0.25">
      <c r="Y125" s="191"/>
      <c r="Z125" s="191" t="s">
        <v>37</v>
      </c>
      <c r="AA125" s="191" t="s">
        <v>76</v>
      </c>
      <c r="AB125" s="191" t="s">
        <v>78</v>
      </c>
      <c r="AC125" s="191" t="s">
        <v>68</v>
      </c>
      <c r="AD125" s="191" t="s">
        <v>43</v>
      </c>
      <c r="AE125" s="191" t="s">
        <v>111</v>
      </c>
    </row>
    <row r="126" spans="25:31" x14ac:dyDescent="0.25">
      <c r="Y126" t="s">
        <v>77</v>
      </c>
      <c r="Z126">
        <f>COUNT(F4:T4)</f>
        <v>15</v>
      </c>
      <c r="AA126" t="e">
        <f ca="1">DEVSQ(MMULT(DESIGN(F4:T45),Z131:Z146))</f>
        <v>#NAME?</v>
      </c>
      <c r="AB126" t="e">
        <f ca="1">AA126/Z126</f>
        <v>#NAME?</v>
      </c>
      <c r="AC126" t="e">
        <f ca="1">AB126/AB127</f>
        <v>#NAME?</v>
      </c>
      <c r="AD126" t="e">
        <f ca="1">FDIST(AC126,Z126,Z127)</f>
        <v>#NAME?</v>
      </c>
      <c r="AE126" s="321" t="e">
        <f ca="1">IF(AD126&lt;AD124,"yes","no")</f>
        <v>#NAME?</v>
      </c>
    </row>
    <row r="127" spans="25:31" x14ac:dyDescent="0.25">
      <c r="Y127" t="s">
        <v>85</v>
      </c>
      <c r="Z127">
        <f>Z128-Z126</f>
        <v>26</v>
      </c>
      <c r="AA127" t="e">
        <f ca="1">AA128-AA126</f>
        <v>#NAME?</v>
      </c>
      <c r="AB127" t="e">
        <f ca="1">AA127/Z127</f>
        <v>#NAME?</v>
      </c>
    </row>
    <row r="128" spans="25:31" x14ac:dyDescent="0.25">
      <c r="Y128" s="185" t="s">
        <v>1</v>
      </c>
      <c r="Z128" s="185">
        <f>Z122-1</f>
        <v>41</v>
      </c>
      <c r="AA128" s="185">
        <f>DEVSQ(W4:W45)</f>
        <v>765790.4761904761</v>
      </c>
      <c r="AB128" s="185"/>
      <c r="AC128" s="185"/>
      <c r="AD128" s="185"/>
      <c r="AE128" s="185"/>
    </row>
    <row r="129" spans="25:32" ht="15.75" thickBot="1" x14ac:dyDescent="0.3"/>
    <row r="130" spans="25:32" ht="15.75" thickTop="1" x14ac:dyDescent="0.25">
      <c r="Y130" s="191"/>
      <c r="Z130" s="191" t="s">
        <v>494</v>
      </c>
      <c r="AA130" s="191" t="s">
        <v>183</v>
      </c>
      <c r="AB130" s="191" t="s">
        <v>38</v>
      </c>
      <c r="AC130" s="191" t="s">
        <v>43</v>
      </c>
      <c r="AD130" s="191" t="s">
        <v>14</v>
      </c>
      <c r="AE130" s="191" t="s">
        <v>15</v>
      </c>
      <c r="AF130" s="191" t="s">
        <v>646</v>
      </c>
    </row>
    <row r="131" spans="25:32" x14ac:dyDescent="0.25">
      <c r="Y131" t="s">
        <v>86</v>
      </c>
      <c r="Z131" t="e">
        <f t="array" aca="1" ref="Z131:AA146" ca="1">RegCoeff(F4:T45,W4:W45)</f>
        <v>#NAME?</v>
      </c>
      <c r="AA131" t="e">
        <f ca="1"/>
        <v>#NAME?</v>
      </c>
      <c r="AB131" t="e">
        <f ca="1">Z131/AA131</f>
        <v>#NAME?</v>
      </c>
      <c r="AC131" t="e">
        <f ca="1">TDIST(ABS(AB131),$Z$127,2)</f>
        <v>#NAME?</v>
      </c>
      <c r="AD131" t="e">
        <f ca="1">Z131-TINV(AD$124,$Z$127)*AA131</f>
        <v>#NAME?</v>
      </c>
      <c r="AE131" t="e">
        <f ca="1">Z131+TINV(AD$124,$Z$127)*AA131</f>
        <v>#NAME?</v>
      </c>
    </row>
    <row r="132" spans="25:32" x14ac:dyDescent="0.25">
      <c r="Y132">
        <f t="array" ref="Y132:Y146">TRANSPOSE(F3:T3)</f>
        <v>2</v>
      </c>
      <c r="Z132" t="e">
        <f ca="1"/>
        <v>#NAME?</v>
      </c>
      <c r="AA132" t="e">
        <f ca="1"/>
        <v>#NAME?</v>
      </c>
      <c r="AB132" t="e">
        <f t="shared" ref="AB132:AB146" ca="1" si="8">Z132/AA132</f>
        <v>#NAME?</v>
      </c>
      <c r="AC132" t="e">
        <f t="shared" ref="AC132:AC146" ca="1" si="9">TDIST(ABS(AB132),$Z$127,2)</f>
        <v>#NAME?</v>
      </c>
      <c r="AD132" t="e">
        <f t="shared" ref="AD132:AD146" ca="1" si="10">Z132-TINV(AD$124,$Z$127)*AA132</f>
        <v>#NAME?</v>
      </c>
      <c r="AE132" t="e">
        <f t="shared" ref="AE132:AE146" ca="1" si="11">Z132+TINV(AD$124,$Z$127)*AA132</f>
        <v>#NAME?</v>
      </c>
      <c r="AF132" t="e">
        <f ca="1">VIF(F4:T45,1)</f>
        <v>#NAME?</v>
      </c>
    </row>
    <row r="133" spans="25:32" x14ac:dyDescent="0.25">
      <c r="Y133">
        <v>3</v>
      </c>
      <c r="Z133" t="e">
        <f ca="1"/>
        <v>#NAME?</v>
      </c>
      <c r="AA133" t="e">
        <f ca="1"/>
        <v>#NAME?</v>
      </c>
      <c r="AB133" t="e">
        <f t="shared" ca="1" si="8"/>
        <v>#NAME?</v>
      </c>
      <c r="AC133" t="e">
        <f t="shared" ca="1" si="9"/>
        <v>#NAME?</v>
      </c>
      <c r="AD133" t="e">
        <f t="shared" ca="1" si="10"/>
        <v>#NAME?</v>
      </c>
      <c r="AE133" t="e">
        <f t="shared" ca="1" si="11"/>
        <v>#NAME?</v>
      </c>
      <c r="AF133" t="e">
        <f ca="1">VIF(F4:T45,2)</f>
        <v>#NAME?</v>
      </c>
    </row>
    <row r="134" spans="25:32" x14ac:dyDescent="0.25">
      <c r="Y134">
        <v>4</v>
      </c>
      <c r="Z134" t="e">
        <f ca="1"/>
        <v>#NAME?</v>
      </c>
      <c r="AA134" t="e">
        <f ca="1"/>
        <v>#NAME?</v>
      </c>
      <c r="AB134" t="e">
        <f t="shared" ca="1" si="8"/>
        <v>#NAME?</v>
      </c>
      <c r="AC134" t="e">
        <f t="shared" ca="1" si="9"/>
        <v>#NAME?</v>
      </c>
      <c r="AD134" t="e">
        <f t="shared" ca="1" si="10"/>
        <v>#NAME?</v>
      </c>
      <c r="AE134" t="e">
        <f t="shared" ca="1" si="11"/>
        <v>#NAME?</v>
      </c>
      <c r="AF134" t="e">
        <f ca="1">VIF(F4:T45,3)</f>
        <v>#NAME?</v>
      </c>
    </row>
    <row r="135" spans="25:32" x14ac:dyDescent="0.25">
      <c r="Y135">
        <v>5</v>
      </c>
      <c r="Z135" t="e">
        <f ca="1"/>
        <v>#NAME?</v>
      </c>
      <c r="AA135" t="e">
        <f ca="1"/>
        <v>#NAME?</v>
      </c>
      <c r="AB135" t="e">
        <f t="shared" ca="1" si="8"/>
        <v>#NAME?</v>
      </c>
      <c r="AC135" t="e">
        <f t="shared" ca="1" si="9"/>
        <v>#NAME?</v>
      </c>
      <c r="AD135" t="e">
        <f t="shared" ca="1" si="10"/>
        <v>#NAME?</v>
      </c>
      <c r="AE135" t="e">
        <f t="shared" ca="1" si="11"/>
        <v>#NAME?</v>
      </c>
      <c r="AF135" t="e">
        <f ca="1">VIF(F4:T45,4)</f>
        <v>#NAME?</v>
      </c>
    </row>
    <row r="136" spans="25:32" x14ac:dyDescent="0.25">
      <c r="Y136">
        <v>6</v>
      </c>
      <c r="Z136" t="e">
        <f ca="1"/>
        <v>#NAME?</v>
      </c>
      <c r="AA136" t="e">
        <f ca="1"/>
        <v>#NAME?</v>
      </c>
      <c r="AB136" t="e">
        <f t="shared" ca="1" si="8"/>
        <v>#NAME?</v>
      </c>
      <c r="AC136" t="e">
        <f t="shared" ca="1" si="9"/>
        <v>#NAME?</v>
      </c>
      <c r="AD136" t="e">
        <f t="shared" ca="1" si="10"/>
        <v>#NAME?</v>
      </c>
      <c r="AE136" t="e">
        <f t="shared" ca="1" si="11"/>
        <v>#NAME?</v>
      </c>
      <c r="AF136" t="e">
        <f ca="1">VIF(F4:T45,5)</f>
        <v>#NAME?</v>
      </c>
    </row>
    <row r="137" spans="25:32" x14ac:dyDescent="0.25">
      <c r="Y137">
        <v>7</v>
      </c>
      <c r="Z137" t="e">
        <f ca="1"/>
        <v>#NAME?</v>
      </c>
      <c r="AA137" t="e">
        <f ca="1"/>
        <v>#NAME?</v>
      </c>
      <c r="AB137" t="e">
        <f t="shared" ca="1" si="8"/>
        <v>#NAME?</v>
      </c>
      <c r="AC137" t="e">
        <f t="shared" ca="1" si="9"/>
        <v>#NAME?</v>
      </c>
      <c r="AD137" t="e">
        <f t="shared" ca="1" si="10"/>
        <v>#NAME?</v>
      </c>
      <c r="AE137" t="e">
        <f t="shared" ca="1" si="11"/>
        <v>#NAME?</v>
      </c>
      <c r="AF137" t="e">
        <f ca="1">VIF(F4:T45,6)</f>
        <v>#NAME?</v>
      </c>
    </row>
    <row r="138" spans="25:32" x14ac:dyDescent="0.25">
      <c r="Y138">
        <v>8</v>
      </c>
      <c r="Z138" t="e">
        <f ca="1"/>
        <v>#NAME?</v>
      </c>
      <c r="AA138" t="e">
        <f ca="1"/>
        <v>#NAME?</v>
      </c>
      <c r="AB138" t="e">
        <f t="shared" ca="1" si="8"/>
        <v>#NAME?</v>
      </c>
      <c r="AC138" t="e">
        <f t="shared" ca="1" si="9"/>
        <v>#NAME?</v>
      </c>
      <c r="AD138" t="e">
        <f t="shared" ca="1" si="10"/>
        <v>#NAME?</v>
      </c>
      <c r="AE138" t="e">
        <f t="shared" ca="1" si="11"/>
        <v>#NAME?</v>
      </c>
      <c r="AF138" t="e">
        <f ca="1">VIF(F4:T45,7)</f>
        <v>#NAME?</v>
      </c>
    </row>
    <row r="139" spans="25:32" x14ac:dyDescent="0.25">
      <c r="Y139">
        <v>9</v>
      </c>
      <c r="Z139" t="e">
        <f ca="1"/>
        <v>#NAME?</v>
      </c>
      <c r="AA139" t="e">
        <f ca="1"/>
        <v>#NAME?</v>
      </c>
      <c r="AB139" t="e">
        <f t="shared" ca="1" si="8"/>
        <v>#NAME?</v>
      </c>
      <c r="AC139" t="e">
        <f t="shared" ca="1" si="9"/>
        <v>#NAME?</v>
      </c>
      <c r="AD139" t="e">
        <f t="shared" ca="1" si="10"/>
        <v>#NAME?</v>
      </c>
      <c r="AE139" t="e">
        <f t="shared" ca="1" si="11"/>
        <v>#NAME?</v>
      </c>
      <c r="AF139" t="e">
        <f ca="1">VIF(F4:T45,8)</f>
        <v>#NAME?</v>
      </c>
    </row>
    <row r="140" spans="25:32" x14ac:dyDescent="0.25">
      <c r="Y140">
        <v>10</v>
      </c>
      <c r="Z140" t="e">
        <f ca="1"/>
        <v>#NAME?</v>
      </c>
      <c r="AA140" t="e">
        <f ca="1"/>
        <v>#NAME?</v>
      </c>
      <c r="AB140" t="e">
        <f t="shared" ca="1" si="8"/>
        <v>#NAME?</v>
      </c>
      <c r="AC140" t="e">
        <f t="shared" ca="1" si="9"/>
        <v>#NAME?</v>
      </c>
      <c r="AD140" t="e">
        <f t="shared" ca="1" si="10"/>
        <v>#NAME?</v>
      </c>
      <c r="AE140" t="e">
        <f t="shared" ca="1" si="11"/>
        <v>#NAME?</v>
      </c>
      <c r="AF140" t="e">
        <f ca="1">VIF(F4:T45,9)</f>
        <v>#NAME?</v>
      </c>
    </row>
    <row r="141" spans="25:32" x14ac:dyDescent="0.25">
      <c r="Y141">
        <v>11</v>
      </c>
      <c r="Z141" t="e">
        <f ca="1"/>
        <v>#NAME?</v>
      </c>
      <c r="AA141" t="e">
        <f ca="1"/>
        <v>#NAME?</v>
      </c>
      <c r="AB141" t="e">
        <f t="shared" ca="1" si="8"/>
        <v>#NAME?</v>
      </c>
      <c r="AC141" t="e">
        <f t="shared" ca="1" si="9"/>
        <v>#NAME?</v>
      </c>
      <c r="AD141" t="e">
        <f t="shared" ca="1" si="10"/>
        <v>#NAME?</v>
      </c>
      <c r="AE141" t="e">
        <f t="shared" ca="1" si="11"/>
        <v>#NAME?</v>
      </c>
      <c r="AF141" t="e">
        <f ca="1">VIF(F4:T45,10)</f>
        <v>#NAME?</v>
      </c>
    </row>
    <row r="142" spans="25:32" x14ac:dyDescent="0.25">
      <c r="Y142">
        <v>12</v>
      </c>
      <c r="Z142" t="e">
        <f ca="1"/>
        <v>#NAME?</v>
      </c>
      <c r="AA142" t="e">
        <f ca="1"/>
        <v>#NAME?</v>
      </c>
      <c r="AB142" t="e">
        <f t="shared" ca="1" si="8"/>
        <v>#NAME?</v>
      </c>
      <c r="AC142" t="e">
        <f t="shared" ca="1" si="9"/>
        <v>#NAME?</v>
      </c>
      <c r="AD142" t="e">
        <f t="shared" ca="1" si="10"/>
        <v>#NAME?</v>
      </c>
      <c r="AE142" t="e">
        <f t="shared" ca="1" si="11"/>
        <v>#NAME?</v>
      </c>
      <c r="AF142" t="e">
        <f ca="1">VIF(F4:T45,11)</f>
        <v>#NAME?</v>
      </c>
    </row>
    <row r="143" spans="25:32" x14ac:dyDescent="0.25">
      <c r="Y143">
        <v>13</v>
      </c>
      <c r="Z143" t="e">
        <f ca="1"/>
        <v>#NAME?</v>
      </c>
      <c r="AA143" t="e">
        <f ca="1"/>
        <v>#NAME?</v>
      </c>
      <c r="AB143" t="e">
        <f t="shared" ca="1" si="8"/>
        <v>#NAME?</v>
      </c>
      <c r="AC143" t="e">
        <f t="shared" ca="1" si="9"/>
        <v>#NAME?</v>
      </c>
      <c r="AD143" t="e">
        <f t="shared" ca="1" si="10"/>
        <v>#NAME?</v>
      </c>
      <c r="AE143" t="e">
        <f t="shared" ca="1" si="11"/>
        <v>#NAME?</v>
      </c>
      <c r="AF143" t="e">
        <f ca="1">VIF(F4:T45,12)</f>
        <v>#NAME?</v>
      </c>
    </row>
    <row r="144" spans="25:32" x14ac:dyDescent="0.25">
      <c r="Y144">
        <v>14</v>
      </c>
      <c r="Z144" t="e">
        <f ca="1"/>
        <v>#NAME?</v>
      </c>
      <c r="AA144" t="e">
        <f ca="1"/>
        <v>#NAME?</v>
      </c>
      <c r="AB144" t="e">
        <f t="shared" ca="1" si="8"/>
        <v>#NAME?</v>
      </c>
      <c r="AC144" t="e">
        <f t="shared" ca="1" si="9"/>
        <v>#NAME?</v>
      </c>
      <c r="AD144" t="e">
        <f t="shared" ca="1" si="10"/>
        <v>#NAME?</v>
      </c>
      <c r="AE144" t="e">
        <f t="shared" ca="1" si="11"/>
        <v>#NAME?</v>
      </c>
      <c r="AF144" t="e">
        <f ca="1">VIF(F4:T45,13)</f>
        <v>#NAME?</v>
      </c>
    </row>
    <row r="145" spans="6:32" x14ac:dyDescent="0.25">
      <c r="Y145">
        <v>2</v>
      </c>
      <c r="Z145" t="e">
        <f ca="1"/>
        <v>#NAME?</v>
      </c>
      <c r="AA145" t="e">
        <f ca="1"/>
        <v>#NAME?</v>
      </c>
      <c r="AB145" t="e">
        <f t="shared" ca="1" si="8"/>
        <v>#NAME?</v>
      </c>
      <c r="AC145" t="e">
        <f t="shared" ca="1" si="9"/>
        <v>#NAME?</v>
      </c>
      <c r="AD145" t="e">
        <f t="shared" ca="1" si="10"/>
        <v>#NAME?</v>
      </c>
      <c r="AE145" t="e">
        <f t="shared" ca="1" si="11"/>
        <v>#NAME?</v>
      </c>
      <c r="AF145" t="e">
        <f ca="1">VIF(F4:T45,14)</f>
        <v>#NAME?</v>
      </c>
    </row>
    <row r="146" spans="6:32" x14ac:dyDescent="0.25">
      <c r="Y146" s="185">
        <v>3</v>
      </c>
      <c r="Z146" s="185" t="e">
        <f ca="1"/>
        <v>#NAME?</v>
      </c>
      <c r="AA146" s="185" t="e">
        <f ca="1"/>
        <v>#NAME?</v>
      </c>
      <c r="AB146" s="185" t="e">
        <f t="shared" ca="1" si="8"/>
        <v>#NAME?</v>
      </c>
      <c r="AC146" s="185" t="e">
        <f t="shared" ca="1" si="9"/>
        <v>#NAME?</v>
      </c>
      <c r="AD146" s="185" t="e">
        <f t="shared" ca="1" si="10"/>
        <v>#NAME?</v>
      </c>
      <c r="AE146" s="185" t="e">
        <f t="shared" ca="1" si="11"/>
        <v>#NAME?</v>
      </c>
      <c r="AF146" s="185" t="e">
        <f ca="1">VIF(F4:T45,15)</f>
        <v>#NAME?</v>
      </c>
    </row>
    <row r="150" spans="6:32" x14ac:dyDescent="0.25">
      <c r="Y150" t="s">
        <v>778</v>
      </c>
    </row>
    <row r="151" spans="6:32" x14ac:dyDescent="0.25">
      <c r="F151" s="321">
        <v>2</v>
      </c>
      <c r="G151" s="321">
        <v>3</v>
      </c>
      <c r="H151" s="321">
        <v>4</v>
      </c>
      <c r="I151" s="321">
        <v>5</v>
      </c>
      <c r="J151" s="321">
        <v>6</v>
      </c>
      <c r="K151" s="321">
        <v>7</v>
      </c>
      <c r="L151" s="321">
        <v>8</v>
      </c>
      <c r="M151" s="321">
        <v>9</v>
      </c>
      <c r="N151" s="321">
        <v>10</v>
      </c>
      <c r="O151" s="321">
        <v>11</v>
      </c>
      <c r="P151" s="321">
        <v>12</v>
      </c>
      <c r="Q151" s="321">
        <v>13</v>
      </c>
      <c r="R151" s="321">
        <v>14</v>
      </c>
      <c r="S151" s="321" t="s">
        <v>771</v>
      </c>
      <c r="T151" s="321" t="s">
        <v>772</v>
      </c>
      <c r="U151" t="s">
        <v>773</v>
      </c>
    </row>
    <row r="152" spans="6:32" ht="15.75" thickBot="1" x14ac:dyDescent="0.3">
      <c r="F152" s="329">
        <v>0</v>
      </c>
      <c r="G152" s="330">
        <v>0</v>
      </c>
      <c r="H152" s="330">
        <v>0</v>
      </c>
      <c r="I152" s="330">
        <v>0</v>
      </c>
      <c r="J152" s="330">
        <v>0</v>
      </c>
      <c r="K152" s="330">
        <v>0</v>
      </c>
      <c r="L152" s="330">
        <v>0</v>
      </c>
      <c r="M152" s="330">
        <v>0</v>
      </c>
      <c r="N152" s="330">
        <v>0</v>
      </c>
      <c r="O152" s="330">
        <v>0</v>
      </c>
      <c r="P152" s="330">
        <v>0</v>
      </c>
      <c r="Q152" s="330">
        <v>0</v>
      </c>
      <c r="R152" s="330">
        <v>0</v>
      </c>
      <c r="S152" s="329">
        <v>0</v>
      </c>
      <c r="T152" s="331">
        <v>0</v>
      </c>
      <c r="U152" s="332">
        <v>250</v>
      </c>
      <c r="Y152" s="179" t="s">
        <v>496</v>
      </c>
      <c r="Z152" s="179"/>
      <c r="AB152" s="179"/>
      <c r="AC152" s="179"/>
    </row>
    <row r="153" spans="6:32" ht="15.75" thickTop="1" x14ac:dyDescent="0.25">
      <c r="F153" s="333">
        <v>1</v>
      </c>
      <c r="G153" s="334">
        <v>0</v>
      </c>
      <c r="H153" s="334">
        <v>0</v>
      </c>
      <c r="I153" s="334">
        <v>0</v>
      </c>
      <c r="J153" s="334">
        <v>0</v>
      </c>
      <c r="K153" s="334">
        <v>0</v>
      </c>
      <c r="L153" s="334">
        <v>0</v>
      </c>
      <c r="M153" s="334">
        <v>0</v>
      </c>
      <c r="N153" s="334">
        <v>0</v>
      </c>
      <c r="O153" s="334">
        <v>0</v>
      </c>
      <c r="P153" s="334">
        <v>0</v>
      </c>
      <c r="Q153" s="334">
        <v>0</v>
      </c>
      <c r="R153" s="334">
        <v>0</v>
      </c>
      <c r="S153" s="333">
        <v>0</v>
      </c>
      <c r="T153" s="335">
        <v>0</v>
      </c>
      <c r="U153" s="336">
        <v>65</v>
      </c>
      <c r="Y153" t="s">
        <v>82</v>
      </c>
      <c r="Z153" t="e">
        <f ca="1">SQRT(Z154)</f>
        <v>#NAME?</v>
      </c>
      <c r="AB153" t="s">
        <v>142</v>
      </c>
      <c r="AC153" t="e">
        <f ca="1">Z157*LN(AA162/Z157)+2*(Z161+1)</f>
        <v>#NAME?</v>
      </c>
    </row>
    <row r="154" spans="6:32" x14ac:dyDescent="0.25">
      <c r="F154" s="333">
        <v>0</v>
      </c>
      <c r="G154" s="334">
        <v>1</v>
      </c>
      <c r="H154" s="334">
        <v>0</v>
      </c>
      <c r="I154" s="334">
        <v>0</v>
      </c>
      <c r="J154" s="334">
        <v>0</v>
      </c>
      <c r="K154" s="334">
        <v>0</v>
      </c>
      <c r="L154" s="334">
        <v>0</v>
      </c>
      <c r="M154" s="334">
        <v>0</v>
      </c>
      <c r="N154" s="334">
        <v>0</v>
      </c>
      <c r="O154" s="334">
        <v>0</v>
      </c>
      <c r="P154" s="334">
        <v>0</v>
      </c>
      <c r="Q154" s="334">
        <v>0</v>
      </c>
      <c r="R154" s="334">
        <v>0</v>
      </c>
      <c r="S154" s="333">
        <v>0</v>
      </c>
      <c r="T154" s="335">
        <v>0</v>
      </c>
      <c r="U154" s="336">
        <v>251</v>
      </c>
      <c r="Y154" t="s">
        <v>80</v>
      </c>
      <c r="Z154" t="e">
        <f ca="1">AA161/AA163</f>
        <v>#NAME?</v>
      </c>
      <c r="AB154" t="s">
        <v>143</v>
      </c>
      <c r="AC154" t="e">
        <f ca="1">AC153+2*(Z161+2)*(Z161+3)/(Z157-Z161-3)</f>
        <v>#NAME?</v>
      </c>
    </row>
    <row r="155" spans="6:32" x14ac:dyDescent="0.25">
      <c r="F155" s="333">
        <v>0</v>
      </c>
      <c r="G155" s="334">
        <v>0</v>
      </c>
      <c r="H155" s="334">
        <v>1</v>
      </c>
      <c r="I155" s="334">
        <v>0</v>
      </c>
      <c r="J155" s="334">
        <v>0</v>
      </c>
      <c r="K155" s="334">
        <v>0</v>
      </c>
      <c r="L155" s="334">
        <v>0</v>
      </c>
      <c r="M155" s="334">
        <v>0</v>
      </c>
      <c r="N155" s="334">
        <v>0</v>
      </c>
      <c r="O155" s="334">
        <v>0</v>
      </c>
      <c r="P155" s="334">
        <v>0</v>
      </c>
      <c r="Q155" s="334">
        <v>0</v>
      </c>
      <c r="R155" s="334">
        <v>0</v>
      </c>
      <c r="S155" s="333">
        <v>0</v>
      </c>
      <c r="T155" s="335">
        <v>0</v>
      </c>
      <c r="U155" s="336">
        <v>103</v>
      </c>
      <c r="Y155" t="s">
        <v>83</v>
      </c>
      <c r="Z155" t="e">
        <f ca="1">1-(1-Z154)*(Z157-1)/(Z157-Z161-1)</f>
        <v>#NAME?</v>
      </c>
      <c r="AB155" s="185" t="s">
        <v>647</v>
      </c>
      <c r="AC155" s="185" t="e">
        <f ca="1">Z157*LN(AA162/Z157)+(Z161+1)*LN(Z157)</f>
        <v>#NAME?</v>
      </c>
    </row>
    <row r="156" spans="6:32" x14ac:dyDescent="0.25">
      <c r="F156" s="333">
        <v>0</v>
      </c>
      <c r="G156" s="334">
        <v>0</v>
      </c>
      <c r="H156" s="334">
        <v>0</v>
      </c>
      <c r="I156" s="334">
        <v>1</v>
      </c>
      <c r="J156" s="334">
        <v>0</v>
      </c>
      <c r="K156" s="334">
        <v>0</v>
      </c>
      <c r="L156" s="334">
        <v>0</v>
      </c>
      <c r="M156" s="334">
        <v>0</v>
      </c>
      <c r="N156" s="334">
        <v>0</v>
      </c>
      <c r="O156" s="334">
        <v>0</v>
      </c>
      <c r="P156" s="334">
        <v>0</v>
      </c>
      <c r="Q156" s="334">
        <v>0</v>
      </c>
      <c r="R156" s="334">
        <v>0</v>
      </c>
      <c r="S156" s="337">
        <v>0</v>
      </c>
      <c r="T156" s="338">
        <v>0</v>
      </c>
      <c r="U156" s="339">
        <v>230</v>
      </c>
      <c r="Y156" t="s">
        <v>9</v>
      </c>
      <c r="Z156" t="e">
        <f ca="1">SQRT(AB162)</f>
        <v>#NAME?</v>
      </c>
    </row>
    <row r="157" spans="6:32" x14ac:dyDescent="0.25">
      <c r="F157" s="333">
        <v>0</v>
      </c>
      <c r="G157" s="334">
        <v>0</v>
      </c>
      <c r="H157" s="334">
        <v>0</v>
      </c>
      <c r="I157" s="334">
        <v>0</v>
      </c>
      <c r="J157" s="334">
        <v>1</v>
      </c>
      <c r="K157" s="334">
        <v>0</v>
      </c>
      <c r="L157" s="334">
        <v>0</v>
      </c>
      <c r="M157" s="334">
        <v>0</v>
      </c>
      <c r="N157" s="334">
        <v>0</v>
      </c>
      <c r="O157" s="334">
        <v>0</v>
      </c>
      <c r="P157" s="334">
        <v>0</v>
      </c>
      <c r="Q157" s="334">
        <v>0</v>
      </c>
      <c r="R157" s="334">
        <v>0</v>
      </c>
      <c r="S157" s="329">
        <v>1</v>
      </c>
      <c r="T157" s="331">
        <v>0</v>
      </c>
      <c r="U157" s="332">
        <v>54</v>
      </c>
      <c r="Y157" s="185" t="s">
        <v>49</v>
      </c>
      <c r="Z157" s="185">
        <f>COUNT(U152:U193)</f>
        <v>42</v>
      </c>
    </row>
    <row r="158" spans="6:32" x14ac:dyDescent="0.25">
      <c r="F158" s="333">
        <v>0</v>
      </c>
      <c r="G158" s="334">
        <v>0</v>
      </c>
      <c r="H158" s="334">
        <v>0</v>
      </c>
      <c r="I158" s="334">
        <v>0</v>
      </c>
      <c r="J158" s="334">
        <v>0</v>
      </c>
      <c r="K158" s="334">
        <v>1</v>
      </c>
      <c r="L158" s="334">
        <v>0</v>
      </c>
      <c r="M158" s="334">
        <v>0</v>
      </c>
      <c r="N158" s="334">
        <v>0</v>
      </c>
      <c r="O158" s="334">
        <v>0</v>
      </c>
      <c r="P158" s="334">
        <v>0</v>
      </c>
      <c r="Q158" s="334">
        <v>0</v>
      </c>
      <c r="R158" s="334">
        <v>0</v>
      </c>
      <c r="S158" s="333">
        <v>1</v>
      </c>
      <c r="T158" s="335">
        <v>0</v>
      </c>
      <c r="U158" s="336">
        <v>20</v>
      </c>
    </row>
    <row r="159" spans="6:32" ht="15.75" thickBot="1" x14ac:dyDescent="0.3">
      <c r="F159" s="333">
        <v>0</v>
      </c>
      <c r="G159" s="334">
        <v>0</v>
      </c>
      <c r="H159" s="334">
        <v>0</v>
      </c>
      <c r="I159" s="334">
        <v>0</v>
      </c>
      <c r="J159" s="334">
        <v>0</v>
      </c>
      <c r="K159" s="334">
        <v>0</v>
      </c>
      <c r="L159" s="334">
        <v>1</v>
      </c>
      <c r="M159" s="334">
        <v>0</v>
      </c>
      <c r="N159" s="334">
        <v>0</v>
      </c>
      <c r="O159" s="334">
        <v>0</v>
      </c>
      <c r="P159" s="334">
        <v>0</v>
      </c>
      <c r="Q159" s="334">
        <v>0</v>
      </c>
      <c r="R159" s="334">
        <v>0</v>
      </c>
      <c r="S159" s="333">
        <v>1</v>
      </c>
      <c r="T159" s="335">
        <v>0</v>
      </c>
      <c r="U159" s="336">
        <v>41</v>
      </c>
      <c r="Y159" t="s">
        <v>84</v>
      </c>
      <c r="AC159" s="321" t="s">
        <v>17</v>
      </c>
      <c r="AD159" s="321">
        <v>0.05</v>
      </c>
    </row>
    <row r="160" spans="6:32" ht="15.75" thickTop="1" x14ac:dyDescent="0.25">
      <c r="F160" s="333">
        <v>0</v>
      </c>
      <c r="G160" s="334">
        <v>0</v>
      </c>
      <c r="H160" s="334">
        <v>0</v>
      </c>
      <c r="I160" s="334">
        <v>0</v>
      </c>
      <c r="J160" s="334">
        <v>0</v>
      </c>
      <c r="K160" s="334">
        <v>0</v>
      </c>
      <c r="L160" s="334">
        <v>0</v>
      </c>
      <c r="M160" s="334">
        <v>1</v>
      </c>
      <c r="N160" s="334">
        <v>0</v>
      </c>
      <c r="O160" s="334">
        <v>0</v>
      </c>
      <c r="P160" s="334">
        <v>0</v>
      </c>
      <c r="Q160" s="334">
        <v>0</v>
      </c>
      <c r="R160" s="334">
        <v>0</v>
      </c>
      <c r="S160" s="333">
        <v>1</v>
      </c>
      <c r="T160" s="335">
        <v>0</v>
      </c>
      <c r="U160" s="336">
        <v>29</v>
      </c>
      <c r="Y160" s="191"/>
      <c r="Z160" s="191" t="s">
        <v>37</v>
      </c>
      <c r="AA160" s="191" t="s">
        <v>76</v>
      </c>
      <c r="AB160" s="191" t="s">
        <v>78</v>
      </c>
      <c r="AC160" s="191" t="s">
        <v>68</v>
      </c>
      <c r="AD160" s="191" t="s">
        <v>43</v>
      </c>
      <c r="AE160" s="191" t="s">
        <v>111</v>
      </c>
    </row>
    <row r="161" spans="6:32" x14ac:dyDescent="0.25">
      <c r="F161" s="333">
        <v>0</v>
      </c>
      <c r="G161" s="334">
        <v>0</v>
      </c>
      <c r="H161" s="334">
        <v>0</v>
      </c>
      <c r="I161" s="334">
        <v>0</v>
      </c>
      <c r="J161" s="334">
        <v>0</v>
      </c>
      <c r="K161" s="334">
        <v>0</v>
      </c>
      <c r="L161" s="334">
        <v>0</v>
      </c>
      <c r="M161" s="334">
        <v>0</v>
      </c>
      <c r="N161" s="334">
        <v>1</v>
      </c>
      <c r="O161" s="334">
        <v>0</v>
      </c>
      <c r="P161" s="334">
        <v>0</v>
      </c>
      <c r="Q161" s="334">
        <v>0</v>
      </c>
      <c r="R161" s="334">
        <v>0</v>
      </c>
      <c r="S161" s="337">
        <v>1</v>
      </c>
      <c r="T161" s="338">
        <v>0</v>
      </c>
      <c r="U161" s="339">
        <v>3</v>
      </c>
      <c r="Y161" t="s">
        <v>77</v>
      </c>
      <c r="Z161">
        <f>COUNT(F152:T152)</f>
        <v>15</v>
      </c>
      <c r="AA161" t="e">
        <f ca="1">DEVSQ(MMULT(DESIGN(F152:T193),Z166:Z181))</f>
        <v>#NAME?</v>
      </c>
      <c r="AB161" t="e">
        <f ca="1">AA161/Z161</f>
        <v>#NAME?</v>
      </c>
      <c r="AC161" t="e">
        <f ca="1">AB161/AB162</f>
        <v>#NAME?</v>
      </c>
      <c r="AD161" t="e">
        <f ca="1">FDIST(AC161,Z161,Z162)</f>
        <v>#NAME?</v>
      </c>
      <c r="AE161" s="321" t="e">
        <f ca="1">IF(AD161&lt;AD159,"yes","no")</f>
        <v>#NAME?</v>
      </c>
    </row>
    <row r="162" spans="6:32" x14ac:dyDescent="0.25">
      <c r="F162" s="333">
        <v>0</v>
      </c>
      <c r="G162" s="334">
        <v>0</v>
      </c>
      <c r="H162" s="334">
        <v>0</v>
      </c>
      <c r="I162" s="334">
        <v>0</v>
      </c>
      <c r="J162" s="334">
        <v>0</v>
      </c>
      <c r="K162" s="334">
        <v>0</v>
      </c>
      <c r="L162" s="334">
        <v>0</v>
      </c>
      <c r="M162" s="334">
        <v>0</v>
      </c>
      <c r="N162" s="334">
        <v>0</v>
      </c>
      <c r="O162" s="334">
        <v>1</v>
      </c>
      <c r="P162" s="334">
        <v>0</v>
      </c>
      <c r="Q162" s="334">
        <v>0</v>
      </c>
      <c r="R162" s="334">
        <v>0</v>
      </c>
      <c r="S162" s="333">
        <v>0</v>
      </c>
      <c r="T162" s="335">
        <v>1</v>
      </c>
      <c r="U162" s="336">
        <v>118</v>
      </c>
      <c r="Y162" t="s">
        <v>85</v>
      </c>
      <c r="Z162">
        <f>Z163-Z161</f>
        <v>26</v>
      </c>
      <c r="AA162" t="e">
        <f ca="1">AA163-AA161</f>
        <v>#NAME?</v>
      </c>
      <c r="AB162" t="e">
        <f ca="1">AA162/Z162</f>
        <v>#NAME?</v>
      </c>
    </row>
    <row r="163" spans="6:32" x14ac:dyDescent="0.25">
      <c r="F163" s="333">
        <v>0</v>
      </c>
      <c r="G163" s="334">
        <v>0</v>
      </c>
      <c r="H163" s="334">
        <v>0</v>
      </c>
      <c r="I163" s="334">
        <v>0</v>
      </c>
      <c r="J163" s="334">
        <v>0</v>
      </c>
      <c r="K163" s="334">
        <v>0</v>
      </c>
      <c r="L163" s="334">
        <v>0</v>
      </c>
      <c r="M163" s="334">
        <v>0</v>
      </c>
      <c r="N163" s="334">
        <v>0</v>
      </c>
      <c r="O163" s="334">
        <v>0</v>
      </c>
      <c r="P163" s="334">
        <v>1</v>
      </c>
      <c r="Q163" s="334">
        <v>0</v>
      </c>
      <c r="R163" s="334">
        <v>0</v>
      </c>
      <c r="S163" s="333">
        <v>0</v>
      </c>
      <c r="T163" s="335">
        <v>1</v>
      </c>
      <c r="U163" s="336">
        <v>83</v>
      </c>
      <c r="Y163" s="185" t="s">
        <v>1</v>
      </c>
      <c r="Z163" s="185">
        <f>Z157-1</f>
        <v>41</v>
      </c>
      <c r="AA163" s="185">
        <f>DEVSQ(U152:U193)</f>
        <v>765790.4761904761</v>
      </c>
      <c r="AB163" s="185"/>
      <c r="AC163" s="185"/>
      <c r="AD163" s="185"/>
      <c r="AE163" s="185"/>
    </row>
    <row r="164" spans="6:32" ht="15.75" thickBot="1" x14ac:dyDescent="0.3">
      <c r="F164" s="333">
        <v>0</v>
      </c>
      <c r="G164" s="334">
        <v>0</v>
      </c>
      <c r="H164" s="334">
        <v>0</v>
      </c>
      <c r="I164" s="334">
        <v>0</v>
      </c>
      <c r="J164" s="334">
        <v>0</v>
      </c>
      <c r="K164" s="334">
        <v>0</v>
      </c>
      <c r="L164" s="334">
        <v>0</v>
      </c>
      <c r="M164" s="334">
        <v>0</v>
      </c>
      <c r="N164" s="334">
        <v>0</v>
      </c>
      <c r="O164" s="334">
        <v>0</v>
      </c>
      <c r="P164" s="334">
        <v>0</v>
      </c>
      <c r="Q164" s="334">
        <v>1</v>
      </c>
      <c r="R164" s="334">
        <v>0</v>
      </c>
      <c r="S164" s="333">
        <v>0</v>
      </c>
      <c r="T164" s="335">
        <v>1</v>
      </c>
      <c r="U164" s="336">
        <v>38</v>
      </c>
    </row>
    <row r="165" spans="6:32" ht="15.75" thickTop="1" x14ac:dyDescent="0.25">
      <c r="F165" s="333">
        <v>0</v>
      </c>
      <c r="G165" s="334">
        <v>0</v>
      </c>
      <c r="H165" s="334">
        <v>0</v>
      </c>
      <c r="I165" s="334">
        <v>0</v>
      </c>
      <c r="J165" s="334">
        <v>0</v>
      </c>
      <c r="K165" s="334">
        <v>0</v>
      </c>
      <c r="L165" s="334">
        <v>0</v>
      </c>
      <c r="M165" s="334">
        <v>0</v>
      </c>
      <c r="N165" s="334">
        <v>0</v>
      </c>
      <c r="O165" s="334">
        <v>0</v>
      </c>
      <c r="P165" s="334">
        <v>0</v>
      </c>
      <c r="Q165" s="334">
        <v>0</v>
      </c>
      <c r="R165" s="334">
        <v>1</v>
      </c>
      <c r="S165" s="333">
        <v>0</v>
      </c>
      <c r="T165" s="335">
        <v>1</v>
      </c>
      <c r="U165" s="336">
        <v>71</v>
      </c>
      <c r="Y165" s="191"/>
      <c r="Z165" s="191" t="s">
        <v>494</v>
      </c>
      <c r="AA165" s="191" t="s">
        <v>183</v>
      </c>
      <c r="AB165" s="191" t="s">
        <v>38</v>
      </c>
      <c r="AC165" s="191" t="s">
        <v>43</v>
      </c>
      <c r="AD165" s="191" t="s">
        <v>14</v>
      </c>
      <c r="AE165" s="191" t="s">
        <v>15</v>
      </c>
      <c r="AF165" s="191" t="s">
        <v>646</v>
      </c>
    </row>
    <row r="166" spans="6:32" x14ac:dyDescent="0.25">
      <c r="F166" s="329">
        <v>0</v>
      </c>
      <c r="G166" s="330">
        <v>0</v>
      </c>
      <c r="H166" s="330">
        <v>0</v>
      </c>
      <c r="I166" s="330">
        <v>0</v>
      </c>
      <c r="J166" s="330">
        <v>0</v>
      </c>
      <c r="K166" s="330">
        <v>0</v>
      </c>
      <c r="L166" s="330">
        <v>0</v>
      </c>
      <c r="M166" s="330">
        <v>0</v>
      </c>
      <c r="N166" s="330">
        <v>0</v>
      </c>
      <c r="O166" s="330">
        <v>0</v>
      </c>
      <c r="P166" s="330">
        <v>0</v>
      </c>
      <c r="Q166" s="330">
        <v>0</v>
      </c>
      <c r="R166" s="330">
        <v>0</v>
      </c>
      <c r="S166" s="329">
        <v>0</v>
      </c>
      <c r="T166" s="331">
        <v>0</v>
      </c>
      <c r="U166" s="332">
        <v>278</v>
      </c>
      <c r="Y166" t="s">
        <v>86</v>
      </c>
      <c r="Z166" t="e">
        <f t="array" aca="1" ref="Z166:AA181" ca="1">RegCoeff(F152:T193,U152:U193)</f>
        <v>#NAME?</v>
      </c>
      <c r="AA166" t="e">
        <f ca="1"/>
        <v>#NAME?</v>
      </c>
      <c r="AB166" t="e">
        <f ca="1">Z166/AA166</f>
        <v>#NAME?</v>
      </c>
      <c r="AC166" t="e">
        <f ca="1">TDIST(ABS(AB166),$Z$162,2)</f>
        <v>#NAME?</v>
      </c>
      <c r="AD166" t="e">
        <f ca="1">Z166-TINV(AD$159,$Z$162)*AA166</f>
        <v>#NAME?</v>
      </c>
      <c r="AE166" t="e">
        <f ca="1">Z166+TINV(AD$159,$Z$162)*AA166</f>
        <v>#NAME?</v>
      </c>
    </row>
    <row r="167" spans="6:32" x14ac:dyDescent="0.25">
      <c r="F167" s="333">
        <v>1</v>
      </c>
      <c r="G167" s="334">
        <v>0</v>
      </c>
      <c r="H167" s="334">
        <v>0</v>
      </c>
      <c r="I167" s="334">
        <v>0</v>
      </c>
      <c r="J167" s="334">
        <v>0</v>
      </c>
      <c r="K167" s="334">
        <v>0</v>
      </c>
      <c r="L167" s="334">
        <v>0</v>
      </c>
      <c r="M167" s="334">
        <v>0</v>
      </c>
      <c r="N167" s="334">
        <v>0</v>
      </c>
      <c r="O167" s="334">
        <v>0</v>
      </c>
      <c r="P167" s="334">
        <v>0</v>
      </c>
      <c r="Q167" s="334">
        <v>0</v>
      </c>
      <c r="R167" s="334">
        <v>0</v>
      </c>
      <c r="S167" s="333">
        <v>0</v>
      </c>
      <c r="T167" s="335">
        <v>0</v>
      </c>
      <c r="U167" s="336">
        <v>207</v>
      </c>
      <c r="Y167">
        <f t="array" ref="Y167:Y181">TRANSPOSE(F151:T151)</f>
        <v>2</v>
      </c>
      <c r="Z167" t="e">
        <f ca="1"/>
        <v>#NAME?</v>
      </c>
      <c r="AA167" t="e">
        <f ca="1"/>
        <v>#NAME?</v>
      </c>
      <c r="AB167" t="e">
        <f t="shared" ref="AB167:AB181" ca="1" si="12">Z167/AA167</f>
        <v>#NAME?</v>
      </c>
      <c r="AC167" t="e">
        <f t="shared" ref="AC167:AC181" ca="1" si="13">TDIST(ABS(AB167),$Z$162,2)</f>
        <v>#NAME?</v>
      </c>
      <c r="AD167" t="e">
        <f t="shared" ref="AD167:AD181" ca="1" si="14">Z167-TINV(AD$159,$Z$162)*AA167</f>
        <v>#NAME?</v>
      </c>
      <c r="AE167" t="e">
        <f t="shared" ref="AE167:AE181" ca="1" si="15">Z167+TINV(AD$159,$Z$162)*AA167</f>
        <v>#NAME?</v>
      </c>
      <c r="AF167" t="e">
        <f ca="1">VIF(F152:T193,1)</f>
        <v>#NAME?</v>
      </c>
    </row>
    <row r="168" spans="6:32" x14ac:dyDescent="0.25">
      <c r="F168" s="333">
        <v>0</v>
      </c>
      <c r="G168" s="334">
        <v>1</v>
      </c>
      <c r="H168" s="334">
        <v>0</v>
      </c>
      <c r="I168" s="334">
        <v>0</v>
      </c>
      <c r="J168" s="334">
        <v>0</v>
      </c>
      <c r="K168" s="334">
        <v>0</v>
      </c>
      <c r="L168" s="334">
        <v>0</v>
      </c>
      <c r="M168" s="334">
        <v>0</v>
      </c>
      <c r="N168" s="334">
        <v>0</v>
      </c>
      <c r="O168" s="334">
        <v>0</v>
      </c>
      <c r="P168" s="334">
        <v>0</v>
      </c>
      <c r="Q168" s="334">
        <v>0</v>
      </c>
      <c r="R168" s="334">
        <v>0</v>
      </c>
      <c r="S168" s="333">
        <v>0</v>
      </c>
      <c r="T168" s="335">
        <v>0</v>
      </c>
      <c r="U168" s="336">
        <v>261</v>
      </c>
      <c r="Y168">
        <v>3</v>
      </c>
      <c r="Z168" t="e">
        <f ca="1"/>
        <v>#NAME?</v>
      </c>
      <c r="AA168" t="e">
        <f ca="1"/>
        <v>#NAME?</v>
      </c>
      <c r="AB168" t="e">
        <f t="shared" ca="1" si="12"/>
        <v>#NAME?</v>
      </c>
      <c r="AC168" t="e">
        <f t="shared" ca="1" si="13"/>
        <v>#NAME?</v>
      </c>
      <c r="AD168" t="e">
        <f t="shared" ca="1" si="14"/>
        <v>#NAME?</v>
      </c>
      <c r="AE168" t="e">
        <f t="shared" ca="1" si="15"/>
        <v>#NAME?</v>
      </c>
      <c r="AF168" t="e">
        <f ca="1">VIF(F152:T193,2)</f>
        <v>#NAME?</v>
      </c>
    </row>
    <row r="169" spans="6:32" x14ac:dyDescent="0.25">
      <c r="F169" s="333">
        <v>0</v>
      </c>
      <c r="G169" s="334">
        <v>0</v>
      </c>
      <c r="H169" s="334">
        <v>1</v>
      </c>
      <c r="I169" s="334">
        <v>0</v>
      </c>
      <c r="J169" s="334">
        <v>0</v>
      </c>
      <c r="K169" s="334">
        <v>0</v>
      </c>
      <c r="L169" s="334">
        <v>0</v>
      </c>
      <c r="M169" s="334">
        <v>0</v>
      </c>
      <c r="N169" s="334">
        <v>0</v>
      </c>
      <c r="O169" s="334">
        <v>0</v>
      </c>
      <c r="P169" s="334">
        <v>0</v>
      </c>
      <c r="Q169" s="334">
        <v>0</v>
      </c>
      <c r="R169" s="334">
        <v>0</v>
      </c>
      <c r="S169" s="333">
        <v>0</v>
      </c>
      <c r="T169" s="335">
        <v>0</v>
      </c>
      <c r="U169" s="336">
        <v>286</v>
      </c>
      <c r="Y169">
        <v>4</v>
      </c>
      <c r="Z169" t="e">
        <f ca="1"/>
        <v>#NAME?</v>
      </c>
      <c r="AA169" t="e">
        <f ca="1"/>
        <v>#NAME?</v>
      </c>
      <c r="AB169" t="e">
        <f t="shared" ca="1" si="12"/>
        <v>#NAME?</v>
      </c>
      <c r="AC169" t="e">
        <f t="shared" ca="1" si="13"/>
        <v>#NAME?</v>
      </c>
      <c r="AD169" t="e">
        <f t="shared" ca="1" si="14"/>
        <v>#NAME?</v>
      </c>
      <c r="AE169" t="e">
        <f t="shared" ca="1" si="15"/>
        <v>#NAME?</v>
      </c>
      <c r="AF169" t="e">
        <f ca="1">VIF(F152:T193,3)</f>
        <v>#NAME?</v>
      </c>
    </row>
    <row r="170" spans="6:32" x14ac:dyDescent="0.25">
      <c r="F170" s="333">
        <v>0</v>
      </c>
      <c r="G170" s="334">
        <v>0</v>
      </c>
      <c r="H170" s="334">
        <v>0</v>
      </c>
      <c r="I170" s="334">
        <v>1</v>
      </c>
      <c r="J170" s="334">
        <v>0</v>
      </c>
      <c r="K170" s="334">
        <v>0</v>
      </c>
      <c r="L170" s="334">
        <v>0</v>
      </c>
      <c r="M170" s="334">
        <v>0</v>
      </c>
      <c r="N170" s="334">
        <v>0</v>
      </c>
      <c r="O170" s="334">
        <v>0</v>
      </c>
      <c r="P170" s="334">
        <v>0</v>
      </c>
      <c r="Q170" s="334">
        <v>0</v>
      </c>
      <c r="R170" s="334">
        <v>0</v>
      </c>
      <c r="S170" s="337">
        <v>0</v>
      </c>
      <c r="T170" s="338">
        <v>0</v>
      </c>
      <c r="U170" s="336">
        <v>306</v>
      </c>
      <c r="Y170">
        <v>5</v>
      </c>
      <c r="Z170" t="e">
        <f ca="1"/>
        <v>#NAME?</v>
      </c>
      <c r="AA170" t="e">
        <f ca="1"/>
        <v>#NAME?</v>
      </c>
      <c r="AB170" t="e">
        <f t="shared" ca="1" si="12"/>
        <v>#NAME?</v>
      </c>
      <c r="AC170" t="e">
        <f t="shared" ca="1" si="13"/>
        <v>#NAME?</v>
      </c>
      <c r="AD170" t="e">
        <f t="shared" ca="1" si="14"/>
        <v>#NAME?</v>
      </c>
      <c r="AE170" t="e">
        <f t="shared" ca="1" si="15"/>
        <v>#NAME?</v>
      </c>
      <c r="AF170" t="e">
        <f ca="1">VIF(F152:T193,4)</f>
        <v>#NAME?</v>
      </c>
    </row>
    <row r="171" spans="6:32" x14ac:dyDescent="0.25">
      <c r="F171" s="333">
        <v>0</v>
      </c>
      <c r="G171" s="334">
        <v>0</v>
      </c>
      <c r="H171" s="334">
        <v>0</v>
      </c>
      <c r="I171" s="334">
        <v>0</v>
      </c>
      <c r="J171" s="334">
        <v>1</v>
      </c>
      <c r="K171" s="334">
        <v>0</v>
      </c>
      <c r="L171" s="334">
        <v>0</v>
      </c>
      <c r="M171" s="334">
        <v>0</v>
      </c>
      <c r="N171" s="334">
        <v>0</v>
      </c>
      <c r="O171" s="334">
        <v>0</v>
      </c>
      <c r="P171" s="334">
        <v>0</v>
      </c>
      <c r="Q171" s="334">
        <v>0</v>
      </c>
      <c r="R171" s="334">
        <v>0</v>
      </c>
      <c r="S171" s="329">
        <v>1</v>
      </c>
      <c r="T171" s="331">
        <v>0</v>
      </c>
      <c r="U171" s="332">
        <v>172</v>
      </c>
      <c r="Y171">
        <v>6</v>
      </c>
      <c r="Z171" t="e">
        <f ca="1"/>
        <v>#NAME?</v>
      </c>
      <c r="AA171" t="e">
        <f ca="1"/>
        <v>#NAME?</v>
      </c>
      <c r="AB171" t="e">
        <f t="shared" ca="1" si="12"/>
        <v>#NAME?</v>
      </c>
      <c r="AC171" t="e">
        <f t="shared" ca="1" si="13"/>
        <v>#NAME?</v>
      </c>
      <c r="AD171" t="e">
        <f t="shared" ca="1" si="14"/>
        <v>#NAME?</v>
      </c>
      <c r="AE171" t="e">
        <f t="shared" ca="1" si="15"/>
        <v>#NAME?</v>
      </c>
      <c r="AF171" t="e">
        <f ca="1">VIF(F152:T193,5)</f>
        <v>#NAME?</v>
      </c>
    </row>
    <row r="172" spans="6:32" x14ac:dyDescent="0.25">
      <c r="F172" s="333">
        <v>0</v>
      </c>
      <c r="G172" s="334">
        <v>0</v>
      </c>
      <c r="H172" s="334">
        <v>0</v>
      </c>
      <c r="I172" s="334">
        <v>0</v>
      </c>
      <c r="J172" s="334">
        <v>0</v>
      </c>
      <c r="K172" s="334">
        <v>1</v>
      </c>
      <c r="L172" s="334">
        <v>0</v>
      </c>
      <c r="M172" s="334">
        <v>0</v>
      </c>
      <c r="N172" s="334">
        <v>0</v>
      </c>
      <c r="O172" s="334">
        <v>0</v>
      </c>
      <c r="P172" s="334">
        <v>0</v>
      </c>
      <c r="Q172" s="334">
        <v>0</v>
      </c>
      <c r="R172" s="334">
        <v>0</v>
      </c>
      <c r="S172" s="333">
        <v>1</v>
      </c>
      <c r="T172" s="335">
        <v>0</v>
      </c>
      <c r="U172" s="336">
        <v>116</v>
      </c>
      <c r="Y172">
        <v>7</v>
      </c>
      <c r="Z172" t="e">
        <f ca="1"/>
        <v>#NAME?</v>
      </c>
      <c r="AA172" t="e">
        <f ca="1"/>
        <v>#NAME?</v>
      </c>
      <c r="AB172" t="e">
        <f t="shared" ca="1" si="12"/>
        <v>#NAME?</v>
      </c>
      <c r="AC172" t="e">
        <f t="shared" ca="1" si="13"/>
        <v>#NAME?</v>
      </c>
      <c r="AD172" t="e">
        <f t="shared" ca="1" si="14"/>
        <v>#NAME?</v>
      </c>
      <c r="AE172" t="e">
        <f t="shared" ca="1" si="15"/>
        <v>#NAME?</v>
      </c>
      <c r="AF172" t="e">
        <f ca="1">VIF(F152:T193,6)</f>
        <v>#NAME?</v>
      </c>
    </row>
    <row r="173" spans="6:32" x14ac:dyDescent="0.25">
      <c r="F173" s="333">
        <v>0</v>
      </c>
      <c r="G173" s="334">
        <v>0</v>
      </c>
      <c r="H173" s="334">
        <v>0</v>
      </c>
      <c r="I173" s="334">
        <v>0</v>
      </c>
      <c r="J173" s="334">
        <v>0</v>
      </c>
      <c r="K173" s="334">
        <v>0</v>
      </c>
      <c r="L173" s="334">
        <v>1</v>
      </c>
      <c r="M173" s="334">
        <v>0</v>
      </c>
      <c r="N173" s="334">
        <v>0</v>
      </c>
      <c r="O173" s="334">
        <v>0</v>
      </c>
      <c r="P173" s="334">
        <v>0</v>
      </c>
      <c r="Q173" s="334">
        <v>0</v>
      </c>
      <c r="R173" s="334">
        <v>0</v>
      </c>
      <c r="S173" s="333">
        <v>1</v>
      </c>
      <c r="T173" s="335">
        <v>0</v>
      </c>
      <c r="U173" s="336">
        <v>168</v>
      </c>
      <c r="Y173">
        <v>8</v>
      </c>
      <c r="Z173" t="e">
        <f ca="1"/>
        <v>#NAME?</v>
      </c>
      <c r="AA173" t="e">
        <f ca="1"/>
        <v>#NAME?</v>
      </c>
      <c r="AB173" t="e">
        <f t="shared" ca="1" si="12"/>
        <v>#NAME?</v>
      </c>
      <c r="AC173" t="e">
        <f t="shared" ca="1" si="13"/>
        <v>#NAME?</v>
      </c>
      <c r="AD173" t="e">
        <f t="shared" ca="1" si="14"/>
        <v>#NAME?</v>
      </c>
      <c r="AE173" t="e">
        <f t="shared" ca="1" si="15"/>
        <v>#NAME?</v>
      </c>
      <c r="AF173" t="e">
        <f ca="1">VIF(F152:T193,7)</f>
        <v>#NAME?</v>
      </c>
    </row>
    <row r="174" spans="6:32" x14ac:dyDescent="0.25">
      <c r="F174" s="333">
        <v>0</v>
      </c>
      <c r="G174" s="334">
        <v>0</v>
      </c>
      <c r="H174" s="334">
        <v>0</v>
      </c>
      <c r="I174" s="334">
        <v>0</v>
      </c>
      <c r="J174" s="334">
        <v>0</v>
      </c>
      <c r="K174" s="334">
        <v>0</v>
      </c>
      <c r="L174" s="334">
        <v>0</v>
      </c>
      <c r="M174" s="334">
        <v>1</v>
      </c>
      <c r="N174" s="334">
        <v>0</v>
      </c>
      <c r="O174" s="334">
        <v>0</v>
      </c>
      <c r="P174" s="334">
        <v>0</v>
      </c>
      <c r="Q174" s="334">
        <v>0</v>
      </c>
      <c r="R174" s="334">
        <v>0</v>
      </c>
      <c r="S174" s="333">
        <v>1</v>
      </c>
      <c r="T174" s="335">
        <v>0</v>
      </c>
      <c r="U174" s="336">
        <v>81</v>
      </c>
      <c r="Y174">
        <v>9</v>
      </c>
      <c r="Z174" t="e">
        <f ca="1"/>
        <v>#NAME?</v>
      </c>
      <c r="AA174" t="e">
        <f ca="1"/>
        <v>#NAME?</v>
      </c>
      <c r="AB174" t="e">
        <f t="shared" ca="1" si="12"/>
        <v>#NAME?</v>
      </c>
      <c r="AC174" t="e">
        <f t="shared" ca="1" si="13"/>
        <v>#NAME?</v>
      </c>
      <c r="AD174" t="e">
        <f t="shared" ca="1" si="14"/>
        <v>#NAME?</v>
      </c>
      <c r="AE174" t="e">
        <f t="shared" ca="1" si="15"/>
        <v>#NAME?</v>
      </c>
      <c r="AF174" t="e">
        <f ca="1">VIF(F152:T193,8)</f>
        <v>#NAME?</v>
      </c>
    </row>
    <row r="175" spans="6:32" x14ac:dyDescent="0.25">
      <c r="F175" s="333">
        <v>0</v>
      </c>
      <c r="G175" s="334">
        <v>0</v>
      </c>
      <c r="H175" s="334">
        <v>0</v>
      </c>
      <c r="I175" s="334">
        <v>0</v>
      </c>
      <c r="J175" s="334">
        <v>0</v>
      </c>
      <c r="K175" s="334">
        <v>0</v>
      </c>
      <c r="L175" s="334">
        <v>0</v>
      </c>
      <c r="M175" s="334">
        <v>0</v>
      </c>
      <c r="N175" s="334">
        <v>1</v>
      </c>
      <c r="O175" s="334">
        <v>0</v>
      </c>
      <c r="P175" s="334">
        <v>0</v>
      </c>
      <c r="Q175" s="334">
        <v>0</v>
      </c>
      <c r="R175" s="334">
        <v>0</v>
      </c>
      <c r="S175" s="337">
        <v>1</v>
      </c>
      <c r="T175" s="338">
        <v>0</v>
      </c>
      <c r="U175" s="339">
        <v>54</v>
      </c>
      <c r="Y175">
        <v>10</v>
      </c>
      <c r="Z175" t="e">
        <f ca="1"/>
        <v>#NAME?</v>
      </c>
      <c r="AA175" t="e">
        <f ca="1"/>
        <v>#NAME?</v>
      </c>
      <c r="AB175" t="e">
        <f t="shared" ca="1" si="12"/>
        <v>#NAME?</v>
      </c>
      <c r="AC175" t="e">
        <f t="shared" ca="1" si="13"/>
        <v>#NAME?</v>
      </c>
      <c r="AD175" t="e">
        <f t="shared" ca="1" si="14"/>
        <v>#NAME?</v>
      </c>
      <c r="AE175" t="e">
        <f t="shared" ca="1" si="15"/>
        <v>#NAME?</v>
      </c>
      <c r="AF175" t="e">
        <f ca="1">VIF(F152:T193,9)</f>
        <v>#NAME?</v>
      </c>
    </row>
    <row r="176" spans="6:32" x14ac:dyDescent="0.25">
      <c r="F176" s="333">
        <v>0</v>
      </c>
      <c r="G176" s="334">
        <v>0</v>
      </c>
      <c r="H176" s="334">
        <v>0</v>
      </c>
      <c r="I176" s="334">
        <v>0</v>
      </c>
      <c r="J176" s="334">
        <v>0</v>
      </c>
      <c r="K176" s="334">
        <v>0</v>
      </c>
      <c r="L176" s="334">
        <v>0</v>
      </c>
      <c r="M176" s="334">
        <v>0</v>
      </c>
      <c r="N176" s="334">
        <v>0</v>
      </c>
      <c r="O176" s="334">
        <v>1</v>
      </c>
      <c r="P176" s="334">
        <v>0</v>
      </c>
      <c r="Q176" s="334">
        <v>0</v>
      </c>
      <c r="R176" s="334">
        <v>0</v>
      </c>
      <c r="S176" s="333">
        <v>0</v>
      </c>
      <c r="T176" s="335">
        <v>1</v>
      </c>
      <c r="U176" s="336">
        <v>124</v>
      </c>
      <c r="Y176">
        <v>11</v>
      </c>
      <c r="Z176" t="e">
        <f ca="1"/>
        <v>#NAME?</v>
      </c>
      <c r="AA176" t="e">
        <f ca="1"/>
        <v>#NAME?</v>
      </c>
      <c r="AB176" t="e">
        <f t="shared" ca="1" si="12"/>
        <v>#NAME?</v>
      </c>
      <c r="AC176" t="e">
        <f t="shared" ca="1" si="13"/>
        <v>#NAME?</v>
      </c>
      <c r="AD176" t="e">
        <f t="shared" ca="1" si="14"/>
        <v>#NAME?</v>
      </c>
      <c r="AE176" t="e">
        <f t="shared" ca="1" si="15"/>
        <v>#NAME?</v>
      </c>
      <c r="AF176" t="e">
        <f ca="1">VIF(F152:T193,10)</f>
        <v>#NAME?</v>
      </c>
    </row>
    <row r="177" spans="6:32" x14ac:dyDescent="0.25">
      <c r="F177" s="333">
        <v>0</v>
      </c>
      <c r="G177" s="334">
        <v>0</v>
      </c>
      <c r="H177" s="334">
        <v>0</v>
      </c>
      <c r="I177" s="334">
        <v>0</v>
      </c>
      <c r="J177" s="334">
        <v>0</v>
      </c>
      <c r="K177" s="334">
        <v>0</v>
      </c>
      <c r="L177" s="334">
        <v>0</v>
      </c>
      <c r="M177" s="334">
        <v>0</v>
      </c>
      <c r="N177" s="334">
        <v>0</v>
      </c>
      <c r="O177" s="334">
        <v>0</v>
      </c>
      <c r="P177" s="334">
        <v>1</v>
      </c>
      <c r="Q177" s="334">
        <v>0</v>
      </c>
      <c r="R177" s="334">
        <v>0</v>
      </c>
      <c r="S177" s="333">
        <v>0</v>
      </c>
      <c r="T177" s="335">
        <v>1</v>
      </c>
      <c r="U177" s="336">
        <v>266</v>
      </c>
      <c r="Y177">
        <v>12</v>
      </c>
      <c r="Z177" t="e">
        <f ca="1"/>
        <v>#NAME?</v>
      </c>
      <c r="AA177" t="e">
        <f ca="1"/>
        <v>#NAME?</v>
      </c>
      <c r="AB177" t="e">
        <f t="shared" ca="1" si="12"/>
        <v>#NAME?</v>
      </c>
      <c r="AC177" t="e">
        <f t="shared" ca="1" si="13"/>
        <v>#NAME?</v>
      </c>
      <c r="AD177" t="e">
        <f t="shared" ca="1" si="14"/>
        <v>#NAME?</v>
      </c>
      <c r="AE177" t="e">
        <f t="shared" ca="1" si="15"/>
        <v>#NAME?</v>
      </c>
      <c r="AF177" t="e">
        <f ca="1">VIF(F152:T193,11)</f>
        <v>#NAME?</v>
      </c>
    </row>
    <row r="178" spans="6:32" x14ac:dyDescent="0.25">
      <c r="F178" s="333">
        <v>0</v>
      </c>
      <c r="G178" s="334">
        <v>0</v>
      </c>
      <c r="H178" s="334">
        <v>0</v>
      </c>
      <c r="I178" s="334">
        <v>0</v>
      </c>
      <c r="J178" s="334">
        <v>0</v>
      </c>
      <c r="K178" s="334">
        <v>0</v>
      </c>
      <c r="L178" s="334">
        <v>0</v>
      </c>
      <c r="M178" s="334">
        <v>0</v>
      </c>
      <c r="N178" s="334">
        <v>0</v>
      </c>
      <c r="O178" s="334">
        <v>0</v>
      </c>
      <c r="P178" s="334">
        <v>0</v>
      </c>
      <c r="Q178" s="334">
        <v>1</v>
      </c>
      <c r="R178" s="334">
        <v>0</v>
      </c>
      <c r="S178" s="333">
        <v>0</v>
      </c>
      <c r="T178" s="335">
        <v>1</v>
      </c>
      <c r="U178" s="336">
        <v>207</v>
      </c>
      <c r="Y178">
        <v>13</v>
      </c>
      <c r="Z178" t="e">
        <f ca="1"/>
        <v>#NAME?</v>
      </c>
      <c r="AA178" t="e">
        <f ca="1"/>
        <v>#NAME?</v>
      </c>
      <c r="AB178" t="e">
        <f t="shared" ca="1" si="12"/>
        <v>#NAME?</v>
      </c>
      <c r="AC178" t="e">
        <f t="shared" ca="1" si="13"/>
        <v>#NAME?</v>
      </c>
      <c r="AD178" t="e">
        <f t="shared" ca="1" si="14"/>
        <v>#NAME?</v>
      </c>
      <c r="AE178" t="e">
        <f t="shared" ca="1" si="15"/>
        <v>#NAME?</v>
      </c>
      <c r="AF178" t="e">
        <f ca="1">VIF(F152:T193,12)</f>
        <v>#NAME?</v>
      </c>
    </row>
    <row r="179" spans="6:32" x14ac:dyDescent="0.25">
      <c r="F179" s="333">
        <v>0</v>
      </c>
      <c r="G179" s="334">
        <v>0</v>
      </c>
      <c r="H179" s="334">
        <v>0</v>
      </c>
      <c r="I179" s="334">
        <v>0</v>
      </c>
      <c r="J179" s="334">
        <v>0</v>
      </c>
      <c r="K179" s="334">
        <v>0</v>
      </c>
      <c r="L179" s="334">
        <v>0</v>
      </c>
      <c r="M179" s="334">
        <v>0</v>
      </c>
      <c r="N179" s="334">
        <v>0</v>
      </c>
      <c r="O179" s="334">
        <v>0</v>
      </c>
      <c r="P179" s="334">
        <v>0</v>
      </c>
      <c r="Q179" s="334">
        <v>0</v>
      </c>
      <c r="R179" s="334">
        <v>1</v>
      </c>
      <c r="S179" s="333">
        <v>0</v>
      </c>
      <c r="T179" s="335">
        <v>1</v>
      </c>
      <c r="U179" s="336">
        <v>285</v>
      </c>
      <c r="Y179">
        <v>14</v>
      </c>
      <c r="Z179" t="e">
        <f ca="1"/>
        <v>#NAME?</v>
      </c>
      <c r="AA179" t="e">
        <f ca="1"/>
        <v>#NAME?</v>
      </c>
      <c r="AB179" t="e">
        <f t="shared" ca="1" si="12"/>
        <v>#NAME?</v>
      </c>
      <c r="AC179" t="e">
        <f t="shared" ca="1" si="13"/>
        <v>#NAME?</v>
      </c>
      <c r="AD179" t="e">
        <f t="shared" ca="1" si="14"/>
        <v>#NAME?</v>
      </c>
      <c r="AE179" t="e">
        <f t="shared" ca="1" si="15"/>
        <v>#NAME?</v>
      </c>
      <c r="AF179" t="e">
        <f ca="1">VIF(F152:T193,13)</f>
        <v>#NAME?</v>
      </c>
    </row>
    <row r="180" spans="6:32" x14ac:dyDescent="0.25">
      <c r="F180" s="329">
        <v>0</v>
      </c>
      <c r="G180" s="330">
        <v>0</v>
      </c>
      <c r="H180" s="330">
        <v>0</v>
      </c>
      <c r="I180" s="330">
        <v>0</v>
      </c>
      <c r="J180" s="330">
        <v>0</v>
      </c>
      <c r="K180" s="330">
        <v>0</v>
      </c>
      <c r="L180" s="330">
        <v>0</v>
      </c>
      <c r="M180" s="330">
        <v>0</v>
      </c>
      <c r="N180" s="330">
        <v>0</v>
      </c>
      <c r="O180" s="330">
        <v>0</v>
      </c>
      <c r="P180" s="330">
        <v>0</v>
      </c>
      <c r="Q180" s="330">
        <v>0</v>
      </c>
      <c r="R180" s="330">
        <v>0</v>
      </c>
      <c r="S180" s="329">
        <v>0</v>
      </c>
      <c r="T180" s="331">
        <v>0</v>
      </c>
      <c r="U180" s="332">
        <v>442</v>
      </c>
      <c r="Y180" t="str">
        <v>mid</v>
      </c>
      <c r="Z180" t="e">
        <f ca="1"/>
        <v>#NAME?</v>
      </c>
      <c r="AA180" t="e">
        <f ca="1"/>
        <v>#NAME?</v>
      </c>
      <c r="AB180" t="e">
        <f t="shared" ca="1" si="12"/>
        <v>#NAME?</v>
      </c>
      <c r="AC180" t="e">
        <f t="shared" ca="1" si="13"/>
        <v>#NAME?</v>
      </c>
      <c r="AD180" t="e">
        <f t="shared" ca="1" si="14"/>
        <v>#NAME?</v>
      </c>
      <c r="AE180" t="e">
        <f t="shared" ca="1" si="15"/>
        <v>#NAME?</v>
      </c>
      <c r="AF180" t="e">
        <f ca="1">VIF(F152:T193,14)</f>
        <v>#NAME?</v>
      </c>
    </row>
    <row r="181" spans="6:32" x14ac:dyDescent="0.25">
      <c r="F181" s="333">
        <v>1</v>
      </c>
      <c r="G181" s="334">
        <v>0</v>
      </c>
      <c r="H181" s="334">
        <v>0</v>
      </c>
      <c r="I181" s="334">
        <v>0</v>
      </c>
      <c r="J181" s="334">
        <v>0</v>
      </c>
      <c r="K181" s="334">
        <v>0</v>
      </c>
      <c r="L181" s="334">
        <v>0</v>
      </c>
      <c r="M181" s="334">
        <v>0</v>
      </c>
      <c r="N181" s="334">
        <v>0</v>
      </c>
      <c r="O181" s="334">
        <v>0</v>
      </c>
      <c r="P181" s="334">
        <v>0</v>
      </c>
      <c r="Q181" s="334">
        <v>0</v>
      </c>
      <c r="R181" s="334">
        <v>0</v>
      </c>
      <c r="S181" s="333">
        <v>0</v>
      </c>
      <c r="T181" s="335">
        <v>0</v>
      </c>
      <c r="U181" s="336">
        <v>341</v>
      </c>
      <c r="Y181" s="185" t="str">
        <v>old</v>
      </c>
      <c r="Z181" s="185" t="e">
        <f ca="1"/>
        <v>#NAME?</v>
      </c>
      <c r="AA181" s="185" t="e">
        <f ca="1"/>
        <v>#NAME?</v>
      </c>
      <c r="AB181" s="185" t="e">
        <f t="shared" ca="1" si="12"/>
        <v>#NAME?</v>
      </c>
      <c r="AC181" s="185" t="e">
        <f t="shared" ca="1" si="13"/>
        <v>#NAME?</v>
      </c>
      <c r="AD181" s="185" t="e">
        <f t="shared" ca="1" si="14"/>
        <v>#NAME?</v>
      </c>
      <c r="AE181" s="185" t="e">
        <f t="shared" ca="1" si="15"/>
        <v>#NAME?</v>
      </c>
      <c r="AF181" s="185" t="e">
        <f ca="1">VIF(F152:T193,15)</f>
        <v>#NAME?</v>
      </c>
    </row>
    <row r="182" spans="6:32" x14ac:dyDescent="0.25">
      <c r="F182" s="333">
        <v>0</v>
      </c>
      <c r="G182" s="334">
        <v>1</v>
      </c>
      <c r="H182" s="334">
        <v>0</v>
      </c>
      <c r="I182" s="334">
        <v>0</v>
      </c>
      <c r="J182" s="334">
        <v>0</v>
      </c>
      <c r="K182" s="334">
        <v>0</v>
      </c>
      <c r="L182" s="334">
        <v>0</v>
      </c>
      <c r="M182" s="334">
        <v>0</v>
      </c>
      <c r="N182" s="334">
        <v>0</v>
      </c>
      <c r="O182" s="334">
        <v>0</v>
      </c>
      <c r="P182" s="334">
        <v>0</v>
      </c>
      <c r="Q182" s="334">
        <v>0</v>
      </c>
      <c r="R182" s="334">
        <v>0</v>
      </c>
      <c r="S182" s="333">
        <v>0</v>
      </c>
      <c r="T182" s="335">
        <v>0</v>
      </c>
      <c r="U182" s="336">
        <v>384</v>
      </c>
    </row>
    <row r="183" spans="6:32" x14ac:dyDescent="0.25">
      <c r="F183" s="333">
        <v>0</v>
      </c>
      <c r="G183" s="334">
        <v>0</v>
      </c>
      <c r="H183" s="334">
        <v>1</v>
      </c>
      <c r="I183" s="334">
        <v>0</v>
      </c>
      <c r="J183" s="334">
        <v>0</v>
      </c>
      <c r="K183" s="334">
        <v>0</v>
      </c>
      <c r="L183" s="334">
        <v>0</v>
      </c>
      <c r="M183" s="334">
        <v>0</v>
      </c>
      <c r="N183" s="334">
        <v>0</v>
      </c>
      <c r="O183" s="334">
        <v>0</v>
      </c>
      <c r="P183" s="334">
        <v>0</v>
      </c>
      <c r="Q183" s="334">
        <v>0</v>
      </c>
      <c r="R183" s="334">
        <v>0</v>
      </c>
      <c r="S183" s="333">
        <v>0</v>
      </c>
      <c r="T183" s="335">
        <v>0</v>
      </c>
      <c r="U183" s="336">
        <v>401</v>
      </c>
    </row>
    <row r="184" spans="6:32" x14ac:dyDescent="0.25">
      <c r="F184" s="333">
        <v>0</v>
      </c>
      <c r="G184" s="334">
        <v>0</v>
      </c>
      <c r="H184" s="334">
        <v>0</v>
      </c>
      <c r="I184" s="334">
        <v>1</v>
      </c>
      <c r="J184" s="334">
        <v>0</v>
      </c>
      <c r="K184" s="334">
        <v>0</v>
      </c>
      <c r="L184" s="334">
        <v>0</v>
      </c>
      <c r="M184" s="334">
        <v>0</v>
      </c>
      <c r="N184" s="334">
        <v>0</v>
      </c>
      <c r="O184" s="334">
        <v>0</v>
      </c>
      <c r="P184" s="334">
        <v>0</v>
      </c>
      <c r="Q184" s="334">
        <v>0</v>
      </c>
      <c r="R184" s="334">
        <v>0</v>
      </c>
      <c r="S184" s="337">
        <v>0</v>
      </c>
      <c r="T184" s="338">
        <v>0</v>
      </c>
      <c r="U184" s="339">
        <v>432</v>
      </c>
    </row>
    <row r="185" spans="6:32" x14ac:dyDescent="0.25">
      <c r="F185" s="333">
        <v>0</v>
      </c>
      <c r="G185" s="334">
        <v>0</v>
      </c>
      <c r="H185" s="334">
        <v>0</v>
      </c>
      <c r="I185" s="334">
        <v>0</v>
      </c>
      <c r="J185" s="334">
        <v>1</v>
      </c>
      <c r="K185" s="334">
        <v>0</v>
      </c>
      <c r="L185" s="334">
        <v>0</v>
      </c>
      <c r="M185" s="334">
        <v>0</v>
      </c>
      <c r="N185" s="334">
        <v>0</v>
      </c>
      <c r="O185" s="334">
        <v>0</v>
      </c>
      <c r="P185" s="334">
        <v>0</v>
      </c>
      <c r="Q185" s="334">
        <v>0</v>
      </c>
      <c r="R185" s="334">
        <v>0</v>
      </c>
      <c r="S185" s="329">
        <v>1</v>
      </c>
      <c r="T185" s="331">
        <v>0</v>
      </c>
      <c r="U185" s="332">
        <v>307</v>
      </c>
    </row>
    <row r="186" spans="6:32" x14ac:dyDescent="0.25">
      <c r="F186" s="333">
        <v>0</v>
      </c>
      <c r="G186" s="334">
        <v>0</v>
      </c>
      <c r="H186" s="334">
        <v>0</v>
      </c>
      <c r="I186" s="334">
        <v>0</v>
      </c>
      <c r="J186" s="334">
        <v>0</v>
      </c>
      <c r="K186" s="334">
        <v>1</v>
      </c>
      <c r="L186" s="334">
        <v>0</v>
      </c>
      <c r="M186" s="334">
        <v>0</v>
      </c>
      <c r="N186" s="334">
        <v>0</v>
      </c>
      <c r="O186" s="334">
        <v>0</v>
      </c>
      <c r="P186" s="334">
        <v>0</v>
      </c>
      <c r="Q186" s="334">
        <v>0</v>
      </c>
      <c r="R186" s="334">
        <v>0</v>
      </c>
      <c r="S186" s="333">
        <v>1</v>
      </c>
      <c r="T186" s="335">
        <v>0</v>
      </c>
      <c r="U186" s="336">
        <v>425</v>
      </c>
    </row>
    <row r="187" spans="6:32" x14ac:dyDescent="0.25">
      <c r="F187" s="333">
        <v>0</v>
      </c>
      <c r="G187" s="334">
        <v>0</v>
      </c>
      <c r="H187" s="334">
        <v>0</v>
      </c>
      <c r="I187" s="334">
        <v>0</v>
      </c>
      <c r="J187" s="334">
        <v>0</v>
      </c>
      <c r="K187" s="334">
        <v>0</v>
      </c>
      <c r="L187" s="334">
        <v>1</v>
      </c>
      <c r="M187" s="334">
        <v>0</v>
      </c>
      <c r="N187" s="334">
        <v>0</v>
      </c>
      <c r="O187" s="334">
        <v>0</v>
      </c>
      <c r="P187" s="334">
        <v>0</v>
      </c>
      <c r="Q187" s="334">
        <v>0</v>
      </c>
      <c r="R187" s="334">
        <v>0</v>
      </c>
      <c r="S187" s="333">
        <v>1</v>
      </c>
      <c r="T187" s="335">
        <v>0</v>
      </c>
      <c r="U187" s="336">
        <v>378</v>
      </c>
    </row>
    <row r="188" spans="6:32" x14ac:dyDescent="0.25">
      <c r="F188" s="333">
        <v>0</v>
      </c>
      <c r="G188" s="334">
        <v>0</v>
      </c>
      <c r="H188" s="334">
        <v>0</v>
      </c>
      <c r="I188" s="334">
        <v>0</v>
      </c>
      <c r="J188" s="334">
        <v>0</v>
      </c>
      <c r="K188" s="334">
        <v>0</v>
      </c>
      <c r="L188" s="334">
        <v>0</v>
      </c>
      <c r="M188" s="334">
        <v>1</v>
      </c>
      <c r="N188" s="334">
        <v>0</v>
      </c>
      <c r="O188" s="334">
        <v>0</v>
      </c>
      <c r="P188" s="334">
        <v>0</v>
      </c>
      <c r="Q188" s="334">
        <v>0</v>
      </c>
      <c r="R188" s="334">
        <v>0</v>
      </c>
      <c r="S188" s="333">
        <v>1</v>
      </c>
      <c r="T188" s="335">
        <v>0</v>
      </c>
      <c r="U188" s="336">
        <v>193</v>
      </c>
    </row>
    <row r="189" spans="6:32" x14ac:dyDescent="0.25">
      <c r="F189" s="333">
        <v>0</v>
      </c>
      <c r="G189" s="334">
        <v>0</v>
      </c>
      <c r="H189" s="334">
        <v>0</v>
      </c>
      <c r="I189" s="334">
        <v>0</v>
      </c>
      <c r="J189" s="334">
        <v>0</v>
      </c>
      <c r="K189" s="334">
        <v>0</v>
      </c>
      <c r="L189" s="334">
        <v>0</v>
      </c>
      <c r="M189" s="334">
        <v>0</v>
      </c>
      <c r="N189" s="334">
        <v>1</v>
      </c>
      <c r="O189" s="334">
        <v>0</v>
      </c>
      <c r="P189" s="334">
        <v>0</v>
      </c>
      <c r="Q189" s="334">
        <v>0</v>
      </c>
      <c r="R189" s="334">
        <v>0</v>
      </c>
      <c r="S189" s="337">
        <v>1</v>
      </c>
      <c r="T189" s="338">
        <v>0</v>
      </c>
      <c r="U189" s="339">
        <v>285</v>
      </c>
    </row>
    <row r="190" spans="6:32" x14ac:dyDescent="0.25">
      <c r="F190" s="333">
        <v>0</v>
      </c>
      <c r="G190" s="334">
        <v>0</v>
      </c>
      <c r="H190" s="334">
        <v>0</v>
      </c>
      <c r="I190" s="334">
        <v>0</v>
      </c>
      <c r="J190" s="334">
        <v>0</v>
      </c>
      <c r="K190" s="334">
        <v>0</v>
      </c>
      <c r="L190" s="334">
        <v>0</v>
      </c>
      <c r="M190" s="334">
        <v>0</v>
      </c>
      <c r="N190" s="334">
        <v>0</v>
      </c>
      <c r="O190" s="334">
        <v>1</v>
      </c>
      <c r="P190" s="334">
        <v>0</v>
      </c>
      <c r="Q190" s="334">
        <v>0</v>
      </c>
      <c r="R190" s="334">
        <v>0</v>
      </c>
      <c r="S190" s="333">
        <v>0</v>
      </c>
      <c r="T190" s="335">
        <v>1</v>
      </c>
      <c r="U190" s="336">
        <v>365</v>
      </c>
    </row>
    <row r="191" spans="6:32" x14ac:dyDescent="0.25">
      <c r="F191" s="333">
        <v>0</v>
      </c>
      <c r="G191" s="334">
        <v>0</v>
      </c>
      <c r="H191" s="334">
        <v>0</v>
      </c>
      <c r="I191" s="334">
        <v>0</v>
      </c>
      <c r="J191" s="334">
        <v>0</v>
      </c>
      <c r="K191" s="334">
        <v>0</v>
      </c>
      <c r="L191" s="334">
        <v>0</v>
      </c>
      <c r="M191" s="334">
        <v>0</v>
      </c>
      <c r="N191" s="334">
        <v>0</v>
      </c>
      <c r="O191" s="334">
        <v>0</v>
      </c>
      <c r="P191" s="334">
        <v>1</v>
      </c>
      <c r="Q191" s="334">
        <v>0</v>
      </c>
      <c r="R191" s="334">
        <v>0</v>
      </c>
      <c r="S191" s="333">
        <v>0</v>
      </c>
      <c r="T191" s="335">
        <v>1</v>
      </c>
      <c r="U191" s="336">
        <v>382</v>
      </c>
    </row>
    <row r="192" spans="6:32" x14ac:dyDescent="0.25">
      <c r="F192" s="333">
        <v>0</v>
      </c>
      <c r="G192" s="334">
        <v>0</v>
      </c>
      <c r="H192" s="334">
        <v>0</v>
      </c>
      <c r="I192" s="334">
        <v>0</v>
      </c>
      <c r="J192" s="334">
        <v>0</v>
      </c>
      <c r="K192" s="334">
        <v>0</v>
      </c>
      <c r="L192" s="334">
        <v>0</v>
      </c>
      <c r="M192" s="334">
        <v>0</v>
      </c>
      <c r="N192" s="334">
        <v>0</v>
      </c>
      <c r="O192" s="334">
        <v>0</v>
      </c>
      <c r="P192" s="334">
        <v>0</v>
      </c>
      <c r="Q192" s="334">
        <v>1</v>
      </c>
      <c r="R192" s="334">
        <v>0</v>
      </c>
      <c r="S192" s="333">
        <v>0</v>
      </c>
      <c r="T192" s="335">
        <v>1</v>
      </c>
      <c r="U192" s="336">
        <v>289</v>
      </c>
    </row>
    <row r="193" spans="6:31" x14ac:dyDescent="0.25">
      <c r="F193" s="337">
        <v>0</v>
      </c>
      <c r="G193" s="340">
        <v>0</v>
      </c>
      <c r="H193" s="340">
        <v>0</v>
      </c>
      <c r="I193" s="340">
        <v>0</v>
      </c>
      <c r="J193" s="340">
        <v>0</v>
      </c>
      <c r="K193" s="340">
        <v>0</v>
      </c>
      <c r="L193" s="340">
        <v>0</v>
      </c>
      <c r="M193" s="340">
        <v>0</v>
      </c>
      <c r="N193" s="340">
        <v>0</v>
      </c>
      <c r="O193" s="340">
        <v>0</v>
      </c>
      <c r="P193" s="340">
        <v>0</v>
      </c>
      <c r="Q193" s="340">
        <v>0</v>
      </c>
      <c r="R193" s="340">
        <v>1</v>
      </c>
      <c r="S193" s="337">
        <v>0</v>
      </c>
      <c r="T193" s="338">
        <v>1</v>
      </c>
      <c r="U193" s="339">
        <v>471</v>
      </c>
    </row>
    <row r="197" spans="6:31" x14ac:dyDescent="0.25">
      <c r="Y197" t="s">
        <v>779</v>
      </c>
    </row>
    <row r="198" spans="6:31" x14ac:dyDescent="0.25">
      <c r="H198" s="321">
        <v>2</v>
      </c>
      <c r="I198" s="321">
        <v>3</v>
      </c>
      <c r="J198" s="321" t="s">
        <v>771</v>
      </c>
      <c r="K198" s="321" t="s">
        <v>772</v>
      </c>
      <c r="L198" t="s">
        <v>780</v>
      </c>
      <c r="M198" s="321" t="s">
        <v>781</v>
      </c>
      <c r="N198" t="s">
        <v>782</v>
      </c>
      <c r="O198" s="321" t="s">
        <v>783</v>
      </c>
      <c r="P198" t="s">
        <v>773</v>
      </c>
    </row>
    <row r="199" spans="6:31" ht="15.75" thickBot="1" x14ac:dyDescent="0.3">
      <c r="H199" s="329">
        <v>0</v>
      </c>
      <c r="I199" s="331">
        <v>0</v>
      </c>
      <c r="J199" s="329">
        <v>0</v>
      </c>
      <c r="K199" s="331">
        <v>0</v>
      </c>
      <c r="L199" s="299">
        <f>H199*J199</f>
        <v>0</v>
      </c>
      <c r="M199" s="304">
        <f>H199*K199</f>
        <v>0</v>
      </c>
      <c r="N199" s="299">
        <f>I199*J199</f>
        <v>0</v>
      </c>
      <c r="O199" s="300">
        <f>I199*K199</f>
        <v>0</v>
      </c>
      <c r="P199" s="332">
        <v>250</v>
      </c>
      <c r="Y199" s="179" t="s">
        <v>496</v>
      </c>
      <c r="Z199" s="179"/>
      <c r="AB199" s="179"/>
      <c r="AC199" s="179"/>
    </row>
    <row r="200" spans="6:31" ht="15.75" thickTop="1" x14ac:dyDescent="0.25">
      <c r="H200" s="333">
        <v>0</v>
      </c>
      <c r="I200" s="335">
        <v>0</v>
      </c>
      <c r="J200" s="333">
        <v>0</v>
      </c>
      <c r="K200" s="335">
        <v>0</v>
      </c>
      <c r="L200" s="107">
        <f t="shared" ref="L200:L240" si="16">H200*J200</f>
        <v>0</v>
      </c>
      <c r="M200" s="7">
        <f t="shared" ref="M200:M240" si="17">H200*K200</f>
        <v>0</v>
      </c>
      <c r="N200" s="107">
        <f t="shared" ref="N200:N240" si="18">I200*J200</f>
        <v>0</v>
      </c>
      <c r="O200" s="108">
        <f t="shared" ref="O200:O240" si="19">I200*K200</f>
        <v>0</v>
      </c>
      <c r="P200" s="336">
        <v>65</v>
      </c>
      <c r="Y200" t="s">
        <v>82</v>
      </c>
      <c r="Z200" t="e">
        <f ca="1">SQRT(Z201)</f>
        <v>#NAME?</v>
      </c>
      <c r="AB200" t="s">
        <v>142</v>
      </c>
      <c r="AC200" t="e">
        <f ca="1">Z204*LN(AA209/Z204)+2*(Z208+1)</f>
        <v>#NAME?</v>
      </c>
    </row>
    <row r="201" spans="6:31" x14ac:dyDescent="0.25">
      <c r="H201" s="333">
        <v>0</v>
      </c>
      <c r="I201" s="335">
        <v>0</v>
      </c>
      <c r="J201" s="333">
        <v>0</v>
      </c>
      <c r="K201" s="335">
        <v>0</v>
      </c>
      <c r="L201" s="107">
        <f t="shared" si="16"/>
        <v>0</v>
      </c>
      <c r="M201" s="7">
        <f t="shared" si="17"/>
        <v>0</v>
      </c>
      <c r="N201" s="107">
        <f t="shared" si="18"/>
        <v>0</v>
      </c>
      <c r="O201" s="108">
        <f t="shared" si="19"/>
        <v>0</v>
      </c>
      <c r="P201" s="336">
        <v>251</v>
      </c>
      <c r="Y201" t="s">
        <v>80</v>
      </c>
      <c r="Z201" t="e">
        <f ca="1">AA208/AA210</f>
        <v>#NAME?</v>
      </c>
      <c r="AB201" t="s">
        <v>143</v>
      </c>
      <c r="AC201" t="e">
        <f ca="1">AC200+2*(Z208+2)*(Z208+3)/(Z204-Z208-3)</f>
        <v>#NAME?</v>
      </c>
    </row>
    <row r="202" spans="6:31" x14ac:dyDescent="0.25">
      <c r="H202" s="333">
        <v>0</v>
      </c>
      <c r="I202" s="335">
        <v>0</v>
      </c>
      <c r="J202" s="333">
        <v>0</v>
      </c>
      <c r="K202" s="335">
        <v>0</v>
      </c>
      <c r="L202" s="107">
        <f t="shared" si="16"/>
        <v>0</v>
      </c>
      <c r="M202" s="7">
        <f t="shared" si="17"/>
        <v>0</v>
      </c>
      <c r="N202" s="107">
        <f t="shared" si="18"/>
        <v>0</v>
      </c>
      <c r="O202" s="108">
        <f t="shared" si="19"/>
        <v>0</v>
      </c>
      <c r="P202" s="336">
        <v>103</v>
      </c>
      <c r="Y202" t="s">
        <v>83</v>
      </c>
      <c r="Z202" t="e">
        <f ca="1">1-(1-Z201)*(Z204-1)/(Z204-Z208-1)</f>
        <v>#NAME?</v>
      </c>
      <c r="AB202" s="185" t="s">
        <v>647</v>
      </c>
      <c r="AC202" s="185" t="e">
        <f ca="1">Z204*LN(AA209/Z204)+(Z208+1)*LN(Z204)</f>
        <v>#NAME?</v>
      </c>
    </row>
    <row r="203" spans="6:31" x14ac:dyDescent="0.25">
      <c r="H203" s="333">
        <v>0</v>
      </c>
      <c r="I203" s="335">
        <v>0</v>
      </c>
      <c r="J203" s="337">
        <v>0</v>
      </c>
      <c r="K203" s="338">
        <v>0</v>
      </c>
      <c r="L203" s="107">
        <f t="shared" si="16"/>
        <v>0</v>
      </c>
      <c r="M203" s="7">
        <f t="shared" si="17"/>
        <v>0</v>
      </c>
      <c r="N203" s="107">
        <f t="shared" si="18"/>
        <v>0</v>
      </c>
      <c r="O203" s="108">
        <f t="shared" si="19"/>
        <v>0</v>
      </c>
      <c r="P203" s="339">
        <v>230</v>
      </c>
      <c r="Y203" t="s">
        <v>9</v>
      </c>
      <c r="Z203" t="e">
        <f ca="1">SQRT(AB209)</f>
        <v>#NAME?</v>
      </c>
    </row>
    <row r="204" spans="6:31" x14ac:dyDescent="0.25">
      <c r="H204" s="333">
        <v>0</v>
      </c>
      <c r="I204" s="335">
        <v>0</v>
      </c>
      <c r="J204" s="329">
        <v>1</v>
      </c>
      <c r="K204" s="331">
        <v>0</v>
      </c>
      <c r="L204" s="107">
        <f t="shared" si="16"/>
        <v>0</v>
      </c>
      <c r="M204" s="7">
        <f t="shared" si="17"/>
        <v>0</v>
      </c>
      <c r="N204" s="107">
        <f t="shared" si="18"/>
        <v>0</v>
      </c>
      <c r="O204" s="108">
        <f t="shared" si="19"/>
        <v>0</v>
      </c>
      <c r="P204" s="332">
        <v>54</v>
      </c>
      <c r="Y204" s="185" t="s">
        <v>49</v>
      </c>
      <c r="Z204" s="185">
        <f>COUNT(P199:P240)</f>
        <v>42</v>
      </c>
    </row>
    <row r="205" spans="6:31" x14ac:dyDescent="0.25">
      <c r="H205" s="333">
        <v>0</v>
      </c>
      <c r="I205" s="335">
        <v>0</v>
      </c>
      <c r="J205" s="333">
        <v>1</v>
      </c>
      <c r="K205" s="335">
        <v>0</v>
      </c>
      <c r="L205" s="107">
        <f t="shared" si="16"/>
        <v>0</v>
      </c>
      <c r="M205" s="7">
        <f t="shared" si="17"/>
        <v>0</v>
      </c>
      <c r="N205" s="107">
        <f t="shared" si="18"/>
        <v>0</v>
      </c>
      <c r="O205" s="108">
        <f t="shared" si="19"/>
        <v>0</v>
      </c>
      <c r="P205" s="336">
        <v>20</v>
      </c>
    </row>
    <row r="206" spans="6:31" ht="15.75" thickBot="1" x14ac:dyDescent="0.3">
      <c r="H206" s="333">
        <v>0</v>
      </c>
      <c r="I206" s="335">
        <v>0</v>
      </c>
      <c r="J206" s="333">
        <v>1</v>
      </c>
      <c r="K206" s="335">
        <v>0</v>
      </c>
      <c r="L206" s="107">
        <f t="shared" si="16"/>
        <v>0</v>
      </c>
      <c r="M206" s="7">
        <f t="shared" si="17"/>
        <v>0</v>
      </c>
      <c r="N206" s="107">
        <f t="shared" si="18"/>
        <v>0</v>
      </c>
      <c r="O206" s="108">
        <f t="shared" si="19"/>
        <v>0</v>
      </c>
      <c r="P206" s="336">
        <v>41</v>
      </c>
      <c r="Y206" t="s">
        <v>84</v>
      </c>
      <c r="AC206" s="321" t="s">
        <v>17</v>
      </c>
      <c r="AD206" s="321">
        <v>0.05</v>
      </c>
    </row>
    <row r="207" spans="6:31" ht="15.75" thickTop="1" x14ac:dyDescent="0.25">
      <c r="H207" s="333">
        <v>0</v>
      </c>
      <c r="I207" s="335">
        <v>0</v>
      </c>
      <c r="J207" s="333">
        <v>1</v>
      </c>
      <c r="K207" s="335">
        <v>0</v>
      </c>
      <c r="L207" s="107">
        <f t="shared" si="16"/>
        <v>0</v>
      </c>
      <c r="M207" s="7">
        <f t="shared" si="17"/>
        <v>0</v>
      </c>
      <c r="N207" s="107">
        <f t="shared" si="18"/>
        <v>0</v>
      </c>
      <c r="O207" s="108">
        <f t="shared" si="19"/>
        <v>0</v>
      </c>
      <c r="P207" s="336">
        <v>29</v>
      </c>
      <c r="Y207" s="191"/>
      <c r="Z207" s="191" t="s">
        <v>37</v>
      </c>
      <c r="AA207" s="191" t="s">
        <v>76</v>
      </c>
      <c r="AB207" s="191" t="s">
        <v>78</v>
      </c>
      <c r="AC207" s="191" t="s">
        <v>68</v>
      </c>
      <c r="AD207" s="191" t="s">
        <v>43</v>
      </c>
      <c r="AE207" s="191" t="s">
        <v>111</v>
      </c>
    </row>
    <row r="208" spans="6:31" x14ac:dyDescent="0.25">
      <c r="H208" s="333">
        <v>0</v>
      </c>
      <c r="I208" s="335">
        <v>0</v>
      </c>
      <c r="J208" s="337">
        <v>1</v>
      </c>
      <c r="K208" s="338">
        <v>0</v>
      </c>
      <c r="L208" s="107">
        <f t="shared" si="16"/>
        <v>0</v>
      </c>
      <c r="M208" s="7">
        <f t="shared" si="17"/>
        <v>0</v>
      </c>
      <c r="N208" s="107">
        <f t="shared" si="18"/>
        <v>0</v>
      </c>
      <c r="O208" s="108">
        <f t="shared" si="19"/>
        <v>0</v>
      </c>
      <c r="P208" s="339">
        <v>3</v>
      </c>
      <c r="Y208" t="s">
        <v>77</v>
      </c>
      <c r="Z208">
        <f>COUNT(H199:O199)</f>
        <v>8</v>
      </c>
      <c r="AA208" t="e">
        <f ca="1">DEVSQ(MMULT(DESIGN(H199:O240),Z213:Z221))</f>
        <v>#NAME?</v>
      </c>
      <c r="AB208" t="e">
        <f ca="1">AA208/Z208</f>
        <v>#NAME?</v>
      </c>
      <c r="AC208" t="e">
        <f ca="1">AB208/AB209</f>
        <v>#NAME?</v>
      </c>
      <c r="AD208" t="e">
        <f ca="1">FDIST(AC208,Z208,Z209)</f>
        <v>#NAME?</v>
      </c>
      <c r="AE208" s="321" t="e">
        <f ca="1">IF(AD208&lt;AD206,"yes","no")</f>
        <v>#NAME?</v>
      </c>
    </row>
    <row r="209" spans="8:32" x14ac:dyDescent="0.25">
      <c r="H209" s="333">
        <v>0</v>
      </c>
      <c r="I209" s="335">
        <v>0</v>
      </c>
      <c r="J209" s="333">
        <v>0</v>
      </c>
      <c r="K209" s="335">
        <v>1</v>
      </c>
      <c r="L209" s="107">
        <f t="shared" si="16"/>
        <v>0</v>
      </c>
      <c r="M209" s="7">
        <f t="shared" si="17"/>
        <v>0</v>
      </c>
      <c r="N209" s="107">
        <f t="shared" si="18"/>
        <v>0</v>
      </c>
      <c r="O209" s="108">
        <f t="shared" si="19"/>
        <v>0</v>
      </c>
      <c r="P209" s="336">
        <v>118</v>
      </c>
      <c r="Y209" t="s">
        <v>85</v>
      </c>
      <c r="Z209">
        <f>Z210-Z208</f>
        <v>33</v>
      </c>
      <c r="AA209" t="e">
        <f ca="1">AA210-AA208</f>
        <v>#NAME?</v>
      </c>
      <c r="AB209" t="e">
        <f ca="1">AA209/Z209</f>
        <v>#NAME?</v>
      </c>
    </row>
    <row r="210" spans="8:32" x14ac:dyDescent="0.25">
      <c r="H210" s="333">
        <v>0</v>
      </c>
      <c r="I210" s="335">
        <v>0</v>
      </c>
      <c r="J210" s="333">
        <v>0</v>
      </c>
      <c r="K210" s="335">
        <v>1</v>
      </c>
      <c r="L210" s="107">
        <f t="shared" si="16"/>
        <v>0</v>
      </c>
      <c r="M210" s="7">
        <f t="shared" si="17"/>
        <v>0</v>
      </c>
      <c r="N210" s="107">
        <f t="shared" si="18"/>
        <v>0</v>
      </c>
      <c r="O210" s="108">
        <f t="shared" si="19"/>
        <v>0</v>
      </c>
      <c r="P210" s="336">
        <v>83</v>
      </c>
      <c r="Y210" s="185" t="s">
        <v>1</v>
      </c>
      <c r="Z210" s="185">
        <f>Z204-1</f>
        <v>41</v>
      </c>
      <c r="AA210" s="185">
        <f>DEVSQ(P199:P240)</f>
        <v>765790.4761904761</v>
      </c>
      <c r="AB210" s="185"/>
      <c r="AC210" s="185"/>
      <c r="AD210" s="185"/>
      <c r="AE210" s="185"/>
    </row>
    <row r="211" spans="8:32" ht="15.75" thickBot="1" x14ac:dyDescent="0.3">
      <c r="H211" s="333">
        <v>0</v>
      </c>
      <c r="I211" s="335">
        <v>0</v>
      </c>
      <c r="J211" s="333">
        <v>0</v>
      </c>
      <c r="K211" s="335">
        <v>1</v>
      </c>
      <c r="L211" s="107">
        <f t="shared" si="16"/>
        <v>0</v>
      </c>
      <c r="M211" s="7">
        <f t="shared" si="17"/>
        <v>0</v>
      </c>
      <c r="N211" s="107">
        <f t="shared" si="18"/>
        <v>0</v>
      </c>
      <c r="O211" s="108">
        <f t="shared" si="19"/>
        <v>0</v>
      </c>
      <c r="P211" s="336">
        <v>38</v>
      </c>
    </row>
    <row r="212" spans="8:32" ht="15.75" thickTop="1" x14ac:dyDescent="0.25">
      <c r="H212" s="333">
        <v>0</v>
      </c>
      <c r="I212" s="335">
        <v>0</v>
      </c>
      <c r="J212" s="333">
        <v>0</v>
      </c>
      <c r="K212" s="335">
        <v>1</v>
      </c>
      <c r="L212" s="107">
        <f t="shared" si="16"/>
        <v>0</v>
      </c>
      <c r="M212" s="7">
        <f t="shared" si="17"/>
        <v>0</v>
      </c>
      <c r="N212" s="107">
        <f t="shared" si="18"/>
        <v>0</v>
      </c>
      <c r="O212" s="108">
        <f t="shared" si="19"/>
        <v>0</v>
      </c>
      <c r="P212" s="336">
        <v>71</v>
      </c>
      <c r="Y212" s="191"/>
      <c r="Z212" s="191" t="s">
        <v>494</v>
      </c>
      <c r="AA212" s="191" t="s">
        <v>183</v>
      </c>
      <c r="AB212" s="191" t="s">
        <v>38</v>
      </c>
      <c r="AC212" s="191" t="s">
        <v>43</v>
      </c>
      <c r="AD212" s="191" t="s">
        <v>14</v>
      </c>
      <c r="AE212" s="191" t="s">
        <v>15</v>
      </c>
      <c r="AF212" s="191" t="s">
        <v>646</v>
      </c>
    </row>
    <row r="213" spans="8:32" x14ac:dyDescent="0.25">
      <c r="H213" s="329">
        <v>1</v>
      </c>
      <c r="I213" s="331">
        <v>0</v>
      </c>
      <c r="J213" s="330">
        <v>0</v>
      </c>
      <c r="K213" s="331">
        <v>0</v>
      </c>
      <c r="L213" s="107">
        <f t="shared" si="16"/>
        <v>0</v>
      </c>
      <c r="M213" s="7">
        <f t="shared" si="17"/>
        <v>0</v>
      </c>
      <c r="N213" s="107">
        <f t="shared" si="18"/>
        <v>0</v>
      </c>
      <c r="O213" s="108">
        <f t="shared" si="19"/>
        <v>0</v>
      </c>
      <c r="P213" s="332">
        <v>278</v>
      </c>
      <c r="Y213" t="s">
        <v>86</v>
      </c>
      <c r="Z213" t="e">
        <f t="array" aca="1" ref="Z213:AA221" ca="1">RegCoeff(H199:O240,P199:P240)</f>
        <v>#NAME?</v>
      </c>
      <c r="AA213" t="e">
        <f ca="1"/>
        <v>#NAME?</v>
      </c>
      <c r="AB213" t="e">
        <f ca="1">Z213/AA213</f>
        <v>#NAME?</v>
      </c>
      <c r="AC213" t="e">
        <f ca="1">TDIST(ABS(AB213),$Z$209,2)</f>
        <v>#NAME?</v>
      </c>
      <c r="AD213" t="e">
        <f ca="1">Z213-TINV(AD$206,$Z$209)*AA213</f>
        <v>#NAME?</v>
      </c>
      <c r="AE213" t="e">
        <f ca="1">Z213+TINV(AD$206,$Z$209)*AA213</f>
        <v>#NAME?</v>
      </c>
    </row>
    <row r="214" spans="8:32" x14ac:dyDescent="0.25">
      <c r="H214" s="333">
        <v>1</v>
      </c>
      <c r="I214" s="335">
        <v>0</v>
      </c>
      <c r="J214" s="334">
        <v>0</v>
      </c>
      <c r="K214" s="335">
        <v>0</v>
      </c>
      <c r="L214" s="107">
        <f t="shared" si="16"/>
        <v>0</v>
      </c>
      <c r="M214" s="7">
        <f t="shared" si="17"/>
        <v>0</v>
      </c>
      <c r="N214" s="107">
        <f t="shared" si="18"/>
        <v>0</v>
      </c>
      <c r="O214" s="108">
        <f t="shared" si="19"/>
        <v>0</v>
      </c>
      <c r="P214" s="336">
        <v>207</v>
      </c>
      <c r="Y214">
        <f t="array" ref="Y214:Y221">TRANSPOSE(H198:O198)</f>
        <v>2</v>
      </c>
      <c r="Z214" t="e">
        <f ca="1"/>
        <v>#NAME?</v>
      </c>
      <c r="AA214" t="e">
        <f ca="1"/>
        <v>#NAME?</v>
      </c>
      <c r="AB214" t="e">
        <f t="shared" ref="AB214:AB221" ca="1" si="20">Z214/AA214</f>
        <v>#NAME?</v>
      </c>
      <c r="AC214" t="e">
        <f t="shared" ref="AC214:AC221" ca="1" si="21">TDIST(ABS(AB214),$Z$209,2)</f>
        <v>#NAME?</v>
      </c>
      <c r="AD214" t="e">
        <f t="shared" ref="AD214:AD221" ca="1" si="22">Z214-TINV(AD$206,$Z$209)*AA214</f>
        <v>#NAME?</v>
      </c>
      <c r="AE214" t="e">
        <f t="shared" ref="AE214:AE221" ca="1" si="23">Z214+TINV(AD$206,$Z$209)*AA214</f>
        <v>#NAME?</v>
      </c>
      <c r="AF214" t="e">
        <f ca="1">VIF(H199:O240,1)</f>
        <v>#NAME?</v>
      </c>
    </row>
    <row r="215" spans="8:32" x14ac:dyDescent="0.25">
      <c r="H215" s="333">
        <v>1</v>
      </c>
      <c r="I215" s="335">
        <v>0</v>
      </c>
      <c r="J215" s="334">
        <v>0</v>
      </c>
      <c r="K215" s="335">
        <v>0</v>
      </c>
      <c r="L215" s="107">
        <f t="shared" si="16"/>
        <v>0</v>
      </c>
      <c r="M215" s="7">
        <f t="shared" si="17"/>
        <v>0</v>
      </c>
      <c r="N215" s="107">
        <f t="shared" si="18"/>
        <v>0</v>
      </c>
      <c r="O215" s="108">
        <f t="shared" si="19"/>
        <v>0</v>
      </c>
      <c r="P215" s="336">
        <v>261</v>
      </c>
      <c r="Y215">
        <v>3</v>
      </c>
      <c r="Z215" t="e">
        <f ca="1"/>
        <v>#NAME?</v>
      </c>
      <c r="AA215" t="e">
        <f ca="1"/>
        <v>#NAME?</v>
      </c>
      <c r="AB215" t="e">
        <f t="shared" ca="1" si="20"/>
        <v>#NAME?</v>
      </c>
      <c r="AC215" t="e">
        <f t="shared" ca="1" si="21"/>
        <v>#NAME?</v>
      </c>
      <c r="AD215" t="e">
        <f t="shared" ca="1" si="22"/>
        <v>#NAME?</v>
      </c>
      <c r="AE215" t="e">
        <f t="shared" ca="1" si="23"/>
        <v>#NAME?</v>
      </c>
      <c r="AF215" t="e">
        <f ca="1">VIF(H199:O240,2)</f>
        <v>#NAME?</v>
      </c>
    </row>
    <row r="216" spans="8:32" x14ac:dyDescent="0.25">
      <c r="H216" s="333">
        <v>1</v>
      </c>
      <c r="I216" s="335">
        <v>0</v>
      </c>
      <c r="J216" s="334">
        <v>0</v>
      </c>
      <c r="K216" s="335">
        <v>0</v>
      </c>
      <c r="L216" s="107">
        <f t="shared" si="16"/>
        <v>0</v>
      </c>
      <c r="M216" s="7">
        <f t="shared" si="17"/>
        <v>0</v>
      </c>
      <c r="N216" s="107">
        <f t="shared" si="18"/>
        <v>0</v>
      </c>
      <c r="O216" s="108">
        <f t="shared" si="19"/>
        <v>0</v>
      </c>
      <c r="P216" s="336">
        <v>286</v>
      </c>
      <c r="Y216" t="str">
        <v>mid</v>
      </c>
      <c r="Z216" t="e">
        <f ca="1"/>
        <v>#NAME?</v>
      </c>
      <c r="AA216" t="e">
        <f ca="1"/>
        <v>#NAME?</v>
      </c>
      <c r="AB216" t="e">
        <f t="shared" ca="1" si="20"/>
        <v>#NAME?</v>
      </c>
      <c r="AC216" t="e">
        <f t="shared" ca="1" si="21"/>
        <v>#NAME?</v>
      </c>
      <c r="AD216" t="e">
        <f t="shared" ca="1" si="22"/>
        <v>#NAME?</v>
      </c>
      <c r="AE216" t="e">
        <f t="shared" ca="1" si="23"/>
        <v>#NAME?</v>
      </c>
      <c r="AF216" t="e">
        <f ca="1">VIF(H199:O240,3)</f>
        <v>#NAME?</v>
      </c>
    </row>
    <row r="217" spans="8:32" x14ac:dyDescent="0.25">
      <c r="H217" s="333">
        <v>1</v>
      </c>
      <c r="I217" s="335">
        <v>0</v>
      </c>
      <c r="J217" s="340">
        <v>0</v>
      </c>
      <c r="K217" s="338">
        <v>0</v>
      </c>
      <c r="L217" s="107">
        <f t="shared" si="16"/>
        <v>0</v>
      </c>
      <c r="M217" s="7">
        <f t="shared" si="17"/>
        <v>0</v>
      </c>
      <c r="N217" s="107">
        <f t="shared" si="18"/>
        <v>0</v>
      </c>
      <c r="O217" s="108">
        <f t="shared" si="19"/>
        <v>0</v>
      </c>
      <c r="P217" s="336">
        <v>306</v>
      </c>
      <c r="Y217" t="str">
        <v>old</v>
      </c>
      <c r="Z217" t="e">
        <f ca="1"/>
        <v>#NAME?</v>
      </c>
      <c r="AA217" t="e">
        <f ca="1"/>
        <v>#NAME?</v>
      </c>
      <c r="AB217" t="e">
        <f t="shared" ca="1" si="20"/>
        <v>#NAME?</v>
      </c>
      <c r="AC217" t="e">
        <f t="shared" ca="1" si="21"/>
        <v>#NAME?</v>
      </c>
      <c r="AD217" t="e">
        <f t="shared" ca="1" si="22"/>
        <v>#NAME?</v>
      </c>
      <c r="AE217" t="e">
        <f t="shared" ca="1" si="23"/>
        <v>#NAME?</v>
      </c>
      <c r="AF217" t="e">
        <f ca="1">VIF(H199:O240,4)</f>
        <v>#NAME?</v>
      </c>
    </row>
    <row r="218" spans="8:32" x14ac:dyDescent="0.25">
      <c r="H218" s="333">
        <v>1</v>
      </c>
      <c r="I218" s="335">
        <v>0</v>
      </c>
      <c r="J218" s="330">
        <v>1</v>
      </c>
      <c r="K218" s="331">
        <v>0</v>
      </c>
      <c r="L218" s="107">
        <f t="shared" si="16"/>
        <v>1</v>
      </c>
      <c r="M218" s="7">
        <f t="shared" si="17"/>
        <v>0</v>
      </c>
      <c r="N218" s="107">
        <f t="shared" si="18"/>
        <v>0</v>
      </c>
      <c r="O218" s="108">
        <f t="shared" si="19"/>
        <v>0</v>
      </c>
      <c r="P218" s="332">
        <v>172</v>
      </c>
      <c r="Y218" t="str">
        <v>mid2</v>
      </c>
      <c r="Z218" t="e">
        <f ca="1"/>
        <v>#NAME?</v>
      </c>
      <c r="AA218" t="e">
        <f ca="1"/>
        <v>#NAME?</v>
      </c>
      <c r="AB218" t="e">
        <f t="shared" ca="1" si="20"/>
        <v>#NAME?</v>
      </c>
      <c r="AC218" t="e">
        <f t="shared" ca="1" si="21"/>
        <v>#NAME?</v>
      </c>
      <c r="AD218" t="e">
        <f t="shared" ca="1" si="22"/>
        <v>#NAME?</v>
      </c>
      <c r="AE218" t="e">
        <f t="shared" ca="1" si="23"/>
        <v>#NAME?</v>
      </c>
      <c r="AF218" t="e">
        <f ca="1">VIF(H199:O240,5)</f>
        <v>#NAME?</v>
      </c>
    </row>
    <row r="219" spans="8:32" x14ac:dyDescent="0.25">
      <c r="H219" s="333">
        <v>1</v>
      </c>
      <c r="I219" s="335">
        <v>0</v>
      </c>
      <c r="J219" s="334">
        <v>1</v>
      </c>
      <c r="K219" s="335">
        <v>0</v>
      </c>
      <c r="L219" s="107">
        <f t="shared" si="16"/>
        <v>1</v>
      </c>
      <c r="M219" s="7">
        <f t="shared" si="17"/>
        <v>0</v>
      </c>
      <c r="N219" s="107">
        <f t="shared" si="18"/>
        <v>0</v>
      </c>
      <c r="O219" s="108">
        <f t="shared" si="19"/>
        <v>0</v>
      </c>
      <c r="P219" s="336">
        <v>116</v>
      </c>
      <c r="Y219" t="str">
        <v>old2</v>
      </c>
      <c r="Z219" t="e">
        <f ca="1"/>
        <v>#NAME?</v>
      </c>
      <c r="AA219" t="e">
        <f ca="1"/>
        <v>#NAME?</v>
      </c>
      <c r="AB219" t="e">
        <f t="shared" ca="1" si="20"/>
        <v>#NAME?</v>
      </c>
      <c r="AC219" t="e">
        <f t="shared" ca="1" si="21"/>
        <v>#NAME?</v>
      </c>
      <c r="AD219" t="e">
        <f t="shared" ca="1" si="22"/>
        <v>#NAME?</v>
      </c>
      <c r="AE219" t="e">
        <f t="shared" ca="1" si="23"/>
        <v>#NAME?</v>
      </c>
      <c r="AF219" t="e">
        <f ca="1">VIF(H199:O240,6)</f>
        <v>#NAME?</v>
      </c>
    </row>
    <row r="220" spans="8:32" x14ac:dyDescent="0.25">
      <c r="H220" s="333">
        <v>1</v>
      </c>
      <c r="I220" s="335">
        <v>0</v>
      </c>
      <c r="J220" s="334">
        <v>1</v>
      </c>
      <c r="K220" s="335">
        <v>0</v>
      </c>
      <c r="L220" s="107">
        <f t="shared" si="16"/>
        <v>1</v>
      </c>
      <c r="M220" s="7">
        <f t="shared" si="17"/>
        <v>0</v>
      </c>
      <c r="N220" s="107">
        <f t="shared" si="18"/>
        <v>0</v>
      </c>
      <c r="O220" s="108">
        <f t="shared" si="19"/>
        <v>0</v>
      </c>
      <c r="P220" s="336">
        <v>168</v>
      </c>
      <c r="Y220" t="str">
        <v>mid3</v>
      </c>
      <c r="Z220" t="e">
        <f ca="1"/>
        <v>#NAME?</v>
      </c>
      <c r="AA220" t="e">
        <f ca="1"/>
        <v>#NAME?</v>
      </c>
      <c r="AB220" t="e">
        <f t="shared" ca="1" si="20"/>
        <v>#NAME?</v>
      </c>
      <c r="AC220" t="e">
        <f t="shared" ca="1" si="21"/>
        <v>#NAME?</v>
      </c>
      <c r="AD220" t="e">
        <f t="shared" ca="1" si="22"/>
        <v>#NAME?</v>
      </c>
      <c r="AE220" t="e">
        <f t="shared" ca="1" si="23"/>
        <v>#NAME?</v>
      </c>
      <c r="AF220" t="e">
        <f ca="1">VIF(H199:O240,7)</f>
        <v>#NAME?</v>
      </c>
    </row>
    <row r="221" spans="8:32" x14ac:dyDescent="0.25">
      <c r="H221" s="333">
        <v>1</v>
      </c>
      <c r="I221" s="335">
        <v>0</v>
      </c>
      <c r="J221" s="334">
        <v>1</v>
      </c>
      <c r="K221" s="335">
        <v>0</v>
      </c>
      <c r="L221" s="107">
        <f t="shared" si="16"/>
        <v>1</v>
      </c>
      <c r="M221" s="7">
        <f t="shared" si="17"/>
        <v>0</v>
      </c>
      <c r="N221" s="107">
        <f t="shared" si="18"/>
        <v>0</v>
      </c>
      <c r="O221" s="108">
        <f t="shared" si="19"/>
        <v>0</v>
      </c>
      <c r="P221" s="336">
        <v>81</v>
      </c>
      <c r="Y221" s="185" t="str">
        <v>old3</v>
      </c>
      <c r="Z221" s="185" t="e">
        <f ca="1"/>
        <v>#NAME?</v>
      </c>
      <c r="AA221" s="185" t="e">
        <f ca="1"/>
        <v>#NAME?</v>
      </c>
      <c r="AB221" s="185" t="e">
        <f t="shared" ca="1" si="20"/>
        <v>#NAME?</v>
      </c>
      <c r="AC221" s="185" t="e">
        <f t="shared" ca="1" si="21"/>
        <v>#NAME?</v>
      </c>
      <c r="AD221" s="185" t="e">
        <f t="shared" ca="1" si="22"/>
        <v>#NAME?</v>
      </c>
      <c r="AE221" s="185" t="e">
        <f t="shared" ca="1" si="23"/>
        <v>#NAME?</v>
      </c>
      <c r="AF221" s="185" t="e">
        <f ca="1">VIF(H199:O240,8)</f>
        <v>#NAME?</v>
      </c>
    </row>
    <row r="222" spans="8:32" x14ac:dyDescent="0.25">
      <c r="H222" s="333">
        <v>1</v>
      </c>
      <c r="I222" s="335">
        <v>0</v>
      </c>
      <c r="J222" s="340">
        <v>1</v>
      </c>
      <c r="K222" s="338">
        <v>0</v>
      </c>
      <c r="L222" s="107">
        <f t="shared" si="16"/>
        <v>1</v>
      </c>
      <c r="M222" s="7">
        <f t="shared" si="17"/>
        <v>0</v>
      </c>
      <c r="N222" s="107">
        <f t="shared" si="18"/>
        <v>0</v>
      </c>
      <c r="O222" s="108">
        <f t="shared" si="19"/>
        <v>0</v>
      </c>
      <c r="P222" s="339">
        <v>54</v>
      </c>
    </row>
    <row r="223" spans="8:32" x14ac:dyDescent="0.25">
      <c r="H223" s="333">
        <v>1</v>
      </c>
      <c r="I223" s="335">
        <v>0</v>
      </c>
      <c r="J223" s="334">
        <v>0</v>
      </c>
      <c r="K223" s="335">
        <v>1</v>
      </c>
      <c r="L223" s="107">
        <f t="shared" si="16"/>
        <v>0</v>
      </c>
      <c r="M223" s="7">
        <f t="shared" si="17"/>
        <v>1</v>
      </c>
      <c r="N223" s="107">
        <f t="shared" si="18"/>
        <v>0</v>
      </c>
      <c r="O223" s="108">
        <f t="shared" si="19"/>
        <v>0</v>
      </c>
      <c r="P223" s="336">
        <v>124</v>
      </c>
    </row>
    <row r="224" spans="8:32" x14ac:dyDescent="0.25">
      <c r="H224" s="333">
        <v>1</v>
      </c>
      <c r="I224" s="335">
        <v>0</v>
      </c>
      <c r="J224" s="334">
        <v>0</v>
      </c>
      <c r="K224" s="335">
        <v>1</v>
      </c>
      <c r="L224" s="107">
        <f t="shared" si="16"/>
        <v>0</v>
      </c>
      <c r="M224" s="7">
        <f t="shared" si="17"/>
        <v>1</v>
      </c>
      <c r="N224" s="107">
        <f t="shared" si="18"/>
        <v>0</v>
      </c>
      <c r="O224" s="108">
        <f t="shared" si="19"/>
        <v>0</v>
      </c>
      <c r="P224" s="336">
        <v>266</v>
      </c>
      <c r="Y224" t="s">
        <v>784</v>
      </c>
    </row>
    <row r="225" spans="8:32" x14ac:dyDescent="0.25">
      <c r="H225" s="333">
        <v>1</v>
      </c>
      <c r="I225" s="335">
        <v>0</v>
      </c>
      <c r="J225" s="334">
        <v>0</v>
      </c>
      <c r="K225" s="335">
        <v>1</v>
      </c>
      <c r="L225" s="107">
        <f t="shared" si="16"/>
        <v>0</v>
      </c>
      <c r="M225" s="7">
        <f t="shared" si="17"/>
        <v>1</v>
      </c>
      <c r="N225" s="107">
        <f t="shared" si="18"/>
        <v>0</v>
      </c>
      <c r="O225" s="108">
        <f t="shared" si="19"/>
        <v>0</v>
      </c>
      <c r="P225" s="336">
        <v>207</v>
      </c>
    </row>
    <row r="226" spans="8:32" ht="15.75" thickBot="1" x14ac:dyDescent="0.3">
      <c r="H226" s="333">
        <v>1</v>
      </c>
      <c r="I226" s="335">
        <v>0</v>
      </c>
      <c r="J226" s="334">
        <v>0</v>
      </c>
      <c r="K226" s="335">
        <v>1</v>
      </c>
      <c r="L226" s="107">
        <f t="shared" si="16"/>
        <v>0</v>
      </c>
      <c r="M226" s="7">
        <f t="shared" si="17"/>
        <v>1</v>
      </c>
      <c r="N226" s="107">
        <f t="shared" si="18"/>
        <v>0</v>
      </c>
      <c r="O226" s="108">
        <f t="shared" si="19"/>
        <v>0</v>
      </c>
      <c r="P226" s="336">
        <v>285</v>
      </c>
      <c r="Y226" s="179" t="s">
        <v>496</v>
      </c>
      <c r="Z226" s="179"/>
      <c r="AB226" s="179"/>
      <c r="AC226" s="179"/>
    </row>
    <row r="227" spans="8:32" ht="15.75" thickTop="1" x14ac:dyDescent="0.25">
      <c r="H227" s="329">
        <v>0</v>
      </c>
      <c r="I227" s="331">
        <v>1</v>
      </c>
      <c r="J227" s="330">
        <v>0</v>
      </c>
      <c r="K227" s="331">
        <v>0</v>
      </c>
      <c r="L227" s="107">
        <f t="shared" si="16"/>
        <v>0</v>
      </c>
      <c r="M227" s="7">
        <f t="shared" si="17"/>
        <v>0</v>
      </c>
      <c r="N227" s="107">
        <f t="shared" si="18"/>
        <v>0</v>
      </c>
      <c r="O227" s="108">
        <f t="shared" si="19"/>
        <v>0</v>
      </c>
      <c r="P227" s="332">
        <v>442</v>
      </c>
      <c r="Y227" t="s">
        <v>82</v>
      </c>
      <c r="Z227" t="e">
        <f ca="1">SQRT(Z228)</f>
        <v>#NAME?</v>
      </c>
      <c r="AB227" t="s">
        <v>142</v>
      </c>
      <c r="AC227" t="e">
        <f ca="1">Z231*LN(AA236/Z231)+2*(Z235+1)</f>
        <v>#NAME?</v>
      </c>
    </row>
    <row r="228" spans="8:32" x14ac:dyDescent="0.25">
      <c r="H228" s="333">
        <v>0</v>
      </c>
      <c r="I228" s="335">
        <v>1</v>
      </c>
      <c r="J228" s="334">
        <v>0</v>
      </c>
      <c r="K228" s="335">
        <v>0</v>
      </c>
      <c r="L228" s="107">
        <f t="shared" si="16"/>
        <v>0</v>
      </c>
      <c r="M228" s="7">
        <f t="shared" si="17"/>
        <v>0</v>
      </c>
      <c r="N228" s="107">
        <f t="shared" si="18"/>
        <v>0</v>
      </c>
      <c r="O228" s="108">
        <f t="shared" si="19"/>
        <v>0</v>
      </c>
      <c r="P228" s="336">
        <v>341</v>
      </c>
      <c r="Y228" t="s">
        <v>80</v>
      </c>
      <c r="Z228" t="e">
        <f ca="1">AA235/AA237</f>
        <v>#NAME?</v>
      </c>
      <c r="AB228" t="s">
        <v>143</v>
      </c>
      <c r="AC228" t="e">
        <f ca="1">AC227+2*(Z235+2)*(Z235+3)/(Z231-Z235-3)</f>
        <v>#NAME?</v>
      </c>
    </row>
    <row r="229" spans="8:32" x14ac:dyDescent="0.25">
      <c r="H229" s="333">
        <v>0</v>
      </c>
      <c r="I229" s="335">
        <v>1</v>
      </c>
      <c r="J229" s="334">
        <v>0</v>
      </c>
      <c r="K229" s="335">
        <v>0</v>
      </c>
      <c r="L229" s="107">
        <f t="shared" si="16"/>
        <v>0</v>
      </c>
      <c r="M229" s="7">
        <f t="shared" si="17"/>
        <v>0</v>
      </c>
      <c r="N229" s="107">
        <f t="shared" si="18"/>
        <v>0</v>
      </c>
      <c r="O229" s="108">
        <f t="shared" si="19"/>
        <v>0</v>
      </c>
      <c r="P229" s="336">
        <v>384</v>
      </c>
      <c r="Y229" t="s">
        <v>83</v>
      </c>
      <c r="Z229" t="e">
        <f ca="1">1-(1-Z228)*(Z231-1)/(Z231-Z235-1)</f>
        <v>#NAME?</v>
      </c>
      <c r="AB229" s="185" t="s">
        <v>647</v>
      </c>
      <c r="AC229" s="185" t="e">
        <f ca="1">Z231*LN(AA236/Z231)+(Z235+1)*LN(Z231)</f>
        <v>#NAME?</v>
      </c>
    </row>
    <row r="230" spans="8:32" x14ac:dyDescent="0.25">
      <c r="H230" s="333">
        <v>0</v>
      </c>
      <c r="I230" s="335">
        <v>1</v>
      </c>
      <c r="J230" s="334">
        <v>0</v>
      </c>
      <c r="K230" s="335">
        <v>0</v>
      </c>
      <c r="L230" s="107">
        <f t="shared" si="16"/>
        <v>0</v>
      </c>
      <c r="M230" s="7">
        <f t="shared" si="17"/>
        <v>0</v>
      </c>
      <c r="N230" s="107">
        <f t="shared" si="18"/>
        <v>0</v>
      </c>
      <c r="O230" s="108">
        <f t="shared" si="19"/>
        <v>0</v>
      </c>
      <c r="P230" s="336">
        <v>401</v>
      </c>
      <c r="Y230" t="s">
        <v>9</v>
      </c>
      <c r="Z230" t="e">
        <f ca="1">SQRT(AB236)</f>
        <v>#NAME?</v>
      </c>
    </row>
    <row r="231" spans="8:32" x14ac:dyDescent="0.25">
      <c r="H231" s="333">
        <v>0</v>
      </c>
      <c r="I231" s="335">
        <v>1</v>
      </c>
      <c r="J231" s="340">
        <v>0</v>
      </c>
      <c r="K231" s="338">
        <v>0</v>
      </c>
      <c r="L231" s="107">
        <f t="shared" si="16"/>
        <v>0</v>
      </c>
      <c r="M231" s="7">
        <f t="shared" si="17"/>
        <v>0</v>
      </c>
      <c r="N231" s="107">
        <f t="shared" si="18"/>
        <v>0</v>
      </c>
      <c r="O231" s="108">
        <f t="shared" si="19"/>
        <v>0</v>
      </c>
      <c r="P231" s="339">
        <v>432</v>
      </c>
      <c r="Y231" s="185" t="s">
        <v>49</v>
      </c>
      <c r="Z231" s="185">
        <f>COUNT(W4:W45)</f>
        <v>42</v>
      </c>
    </row>
    <row r="232" spans="8:32" x14ac:dyDescent="0.25">
      <c r="H232" s="333">
        <v>0</v>
      </c>
      <c r="I232" s="335">
        <v>1</v>
      </c>
      <c r="J232" s="330">
        <v>1</v>
      </c>
      <c r="K232" s="331">
        <v>0</v>
      </c>
      <c r="L232" s="107">
        <f t="shared" si="16"/>
        <v>0</v>
      </c>
      <c r="M232" s="7">
        <f t="shared" si="17"/>
        <v>0</v>
      </c>
      <c r="N232" s="107">
        <f t="shared" si="18"/>
        <v>1</v>
      </c>
      <c r="O232" s="108">
        <f t="shared" si="19"/>
        <v>0</v>
      </c>
      <c r="P232" s="332">
        <v>307</v>
      </c>
    </row>
    <row r="233" spans="8:32" ht="15.75" thickBot="1" x14ac:dyDescent="0.3">
      <c r="H233" s="333">
        <v>0</v>
      </c>
      <c r="I233" s="335">
        <v>1</v>
      </c>
      <c r="J233" s="334">
        <v>1</v>
      </c>
      <c r="K233" s="335">
        <v>0</v>
      </c>
      <c r="L233" s="107">
        <f t="shared" si="16"/>
        <v>0</v>
      </c>
      <c r="M233" s="7">
        <f t="shared" si="17"/>
        <v>0</v>
      </c>
      <c r="N233" s="107">
        <f t="shared" si="18"/>
        <v>1</v>
      </c>
      <c r="O233" s="108">
        <f t="shared" si="19"/>
        <v>0</v>
      </c>
      <c r="P233" s="336">
        <v>425</v>
      </c>
      <c r="Y233" t="s">
        <v>84</v>
      </c>
      <c r="AC233" s="321" t="s">
        <v>17</v>
      </c>
      <c r="AD233" s="321">
        <v>0.05</v>
      </c>
    </row>
    <row r="234" spans="8:32" ht="15.75" thickTop="1" x14ac:dyDescent="0.25">
      <c r="H234" s="333">
        <v>0</v>
      </c>
      <c r="I234" s="335">
        <v>1</v>
      </c>
      <c r="J234" s="334">
        <v>1</v>
      </c>
      <c r="K234" s="335">
        <v>0</v>
      </c>
      <c r="L234" s="107">
        <f t="shared" si="16"/>
        <v>0</v>
      </c>
      <c r="M234" s="7">
        <f t="shared" si="17"/>
        <v>0</v>
      </c>
      <c r="N234" s="107">
        <f t="shared" si="18"/>
        <v>1</v>
      </c>
      <c r="O234" s="108">
        <f t="shared" si="19"/>
        <v>0</v>
      </c>
      <c r="P234" s="336">
        <v>378</v>
      </c>
      <c r="Y234" s="191"/>
      <c r="Z234" s="191" t="s">
        <v>37</v>
      </c>
      <c r="AA234" s="191" t="s">
        <v>76</v>
      </c>
      <c r="AB234" s="191" t="s">
        <v>78</v>
      </c>
      <c r="AC234" s="191" t="s">
        <v>68</v>
      </c>
      <c r="AD234" s="191" t="s">
        <v>43</v>
      </c>
      <c r="AE234" s="191" t="s">
        <v>111</v>
      </c>
    </row>
    <row r="235" spans="8:32" x14ac:dyDescent="0.25">
      <c r="H235" s="333">
        <v>0</v>
      </c>
      <c r="I235" s="335">
        <v>1</v>
      </c>
      <c r="J235" s="334">
        <v>1</v>
      </c>
      <c r="K235" s="335">
        <v>0</v>
      </c>
      <c r="L235" s="107">
        <f t="shared" si="16"/>
        <v>0</v>
      </c>
      <c r="M235" s="7">
        <f t="shared" si="17"/>
        <v>0</v>
      </c>
      <c r="N235" s="107">
        <f t="shared" si="18"/>
        <v>1</v>
      </c>
      <c r="O235" s="108">
        <f t="shared" si="19"/>
        <v>0</v>
      </c>
      <c r="P235" s="336">
        <v>193</v>
      </c>
      <c r="Y235" t="s">
        <v>77</v>
      </c>
      <c r="Z235">
        <f>COUNT(S4:T4)</f>
        <v>2</v>
      </c>
      <c r="AA235" t="e">
        <f ca="1">DEVSQ(MMULT(DESIGN(S4:T45),Z240:Z242))</f>
        <v>#NAME?</v>
      </c>
      <c r="AB235" t="e">
        <f ca="1">AA235/Z235</f>
        <v>#NAME?</v>
      </c>
      <c r="AC235" t="e">
        <f ca="1">AB235/AB236</f>
        <v>#NAME?</v>
      </c>
      <c r="AD235" t="e">
        <f ca="1">FDIST(AC235,Z235,Z236)</f>
        <v>#NAME?</v>
      </c>
      <c r="AE235" s="321" t="e">
        <f ca="1">IF(AD235&lt;AD233,"yes","no")</f>
        <v>#NAME?</v>
      </c>
    </row>
    <row r="236" spans="8:32" x14ac:dyDescent="0.25">
      <c r="H236" s="333">
        <v>0</v>
      </c>
      <c r="I236" s="335">
        <v>1</v>
      </c>
      <c r="J236" s="340">
        <v>1</v>
      </c>
      <c r="K236" s="338">
        <v>0</v>
      </c>
      <c r="L236" s="107">
        <f t="shared" si="16"/>
        <v>0</v>
      </c>
      <c r="M236" s="7">
        <f t="shared" si="17"/>
        <v>0</v>
      </c>
      <c r="N236" s="107">
        <f t="shared" si="18"/>
        <v>1</v>
      </c>
      <c r="O236" s="108">
        <f t="shared" si="19"/>
        <v>0</v>
      </c>
      <c r="P236" s="339">
        <v>285</v>
      </c>
      <c r="Y236" t="s">
        <v>85</v>
      </c>
      <c r="Z236">
        <f>Z237-Z235</f>
        <v>39</v>
      </c>
      <c r="AA236" t="e">
        <f ca="1">AA237-AA235</f>
        <v>#NAME?</v>
      </c>
      <c r="AB236" t="e">
        <f ca="1">AA236/Z236</f>
        <v>#NAME?</v>
      </c>
    </row>
    <row r="237" spans="8:32" x14ac:dyDescent="0.25">
      <c r="H237" s="333">
        <v>0</v>
      </c>
      <c r="I237" s="335">
        <v>1</v>
      </c>
      <c r="J237" s="334">
        <v>0</v>
      </c>
      <c r="K237" s="335">
        <v>1</v>
      </c>
      <c r="L237" s="107">
        <f t="shared" si="16"/>
        <v>0</v>
      </c>
      <c r="M237" s="7">
        <f t="shared" si="17"/>
        <v>0</v>
      </c>
      <c r="N237" s="107">
        <f t="shared" si="18"/>
        <v>0</v>
      </c>
      <c r="O237" s="108">
        <f t="shared" si="19"/>
        <v>1</v>
      </c>
      <c r="P237" s="336">
        <v>365</v>
      </c>
      <c r="Y237" s="185" t="s">
        <v>1</v>
      </c>
      <c r="Z237" s="185">
        <f>Z231-1</f>
        <v>41</v>
      </c>
      <c r="AA237" s="185">
        <f>DEVSQ(W4:W45)</f>
        <v>765790.4761904761</v>
      </c>
      <c r="AB237" s="185"/>
      <c r="AC237" s="185"/>
      <c r="AD237" s="185"/>
      <c r="AE237" s="185"/>
    </row>
    <row r="238" spans="8:32" ht="15.75" thickBot="1" x14ac:dyDescent="0.3">
      <c r="H238" s="333">
        <v>0</v>
      </c>
      <c r="I238" s="335">
        <v>1</v>
      </c>
      <c r="J238" s="334">
        <v>0</v>
      </c>
      <c r="K238" s="335">
        <v>1</v>
      </c>
      <c r="L238" s="107">
        <f t="shared" si="16"/>
        <v>0</v>
      </c>
      <c r="M238" s="7">
        <f t="shared" si="17"/>
        <v>0</v>
      </c>
      <c r="N238" s="107">
        <f t="shared" si="18"/>
        <v>0</v>
      </c>
      <c r="O238" s="108">
        <f t="shared" si="19"/>
        <v>1</v>
      </c>
      <c r="P238" s="336">
        <v>382</v>
      </c>
    </row>
    <row r="239" spans="8:32" ht="15.75" thickTop="1" x14ac:dyDescent="0.25">
      <c r="H239" s="333">
        <v>0</v>
      </c>
      <c r="I239" s="335">
        <v>1</v>
      </c>
      <c r="J239" s="334">
        <v>0</v>
      </c>
      <c r="K239" s="335">
        <v>1</v>
      </c>
      <c r="L239" s="107">
        <f t="shared" si="16"/>
        <v>0</v>
      </c>
      <c r="M239" s="7">
        <f t="shared" si="17"/>
        <v>0</v>
      </c>
      <c r="N239" s="107">
        <f t="shared" si="18"/>
        <v>0</v>
      </c>
      <c r="O239" s="108">
        <f t="shared" si="19"/>
        <v>1</v>
      </c>
      <c r="P239" s="336">
        <v>289</v>
      </c>
      <c r="Y239" s="191"/>
      <c r="Z239" s="191" t="s">
        <v>494</v>
      </c>
      <c r="AA239" s="191" t="s">
        <v>183</v>
      </c>
      <c r="AB239" s="191" t="s">
        <v>38</v>
      </c>
      <c r="AC239" s="191" t="s">
        <v>43</v>
      </c>
      <c r="AD239" s="191" t="s">
        <v>14</v>
      </c>
      <c r="AE239" s="191" t="s">
        <v>15</v>
      </c>
      <c r="AF239" s="191" t="s">
        <v>646</v>
      </c>
    </row>
    <row r="240" spans="8:32" x14ac:dyDescent="0.25">
      <c r="H240" s="337">
        <v>0</v>
      </c>
      <c r="I240" s="338">
        <v>1</v>
      </c>
      <c r="J240" s="340">
        <v>0</v>
      </c>
      <c r="K240" s="338">
        <v>1</v>
      </c>
      <c r="L240" s="52">
        <f t="shared" si="16"/>
        <v>0</v>
      </c>
      <c r="M240" s="185">
        <f t="shared" si="17"/>
        <v>0</v>
      </c>
      <c r="N240" s="52">
        <f t="shared" si="18"/>
        <v>0</v>
      </c>
      <c r="O240" s="56">
        <f t="shared" si="19"/>
        <v>1</v>
      </c>
      <c r="P240" s="339">
        <v>471</v>
      </c>
      <c r="Y240" t="s">
        <v>86</v>
      </c>
      <c r="Z240" t="e">
        <f t="array" aca="1" ref="Z240:AA242" ca="1">RegCoeff(S4:T45,W4:W45)</f>
        <v>#NAME?</v>
      </c>
      <c r="AA240" t="e">
        <f ca="1"/>
        <v>#NAME?</v>
      </c>
      <c r="AB240" t="e">
        <f ca="1">Z240/AA240</f>
        <v>#NAME?</v>
      </c>
      <c r="AC240" t="e">
        <f ca="1">TDIST(ABS(AB240),$Z$236,2)</f>
        <v>#NAME?</v>
      </c>
      <c r="AD240" t="e">
        <f ca="1">Z240-TINV(AD$233,$Z$236)*AA240</f>
        <v>#NAME?</v>
      </c>
      <c r="AE240" t="e">
        <f ca="1">Z240+TINV(AD$233,$Z$236)*AA240</f>
        <v>#NAME?</v>
      </c>
    </row>
    <row r="241" spans="25:32" x14ac:dyDescent="0.25">
      <c r="Y241">
        <f t="array" ref="Y241:Y242">TRANSPOSE(S3:T3)</f>
        <v>2</v>
      </c>
      <c r="Z241" t="e">
        <f ca="1"/>
        <v>#NAME?</v>
      </c>
      <c r="AA241" t="e">
        <f ca="1"/>
        <v>#NAME?</v>
      </c>
      <c r="AB241" t="e">
        <f ca="1">Z241/AA241</f>
        <v>#NAME?</v>
      </c>
      <c r="AC241" t="e">
        <f ca="1">TDIST(ABS(AB241),$Z$236,2)</f>
        <v>#NAME?</v>
      </c>
      <c r="AD241" t="e">
        <f ca="1">Z241-TINV(AD$233,$Z$236)*AA241</f>
        <v>#NAME?</v>
      </c>
      <c r="AE241" t="e">
        <f ca="1">Z241+TINV(AD$233,$Z$236)*AA241</f>
        <v>#NAME?</v>
      </c>
      <c r="AF241" t="e">
        <f ca="1">VIF(S4:T45,1)</f>
        <v>#NAME?</v>
      </c>
    </row>
    <row r="242" spans="25:32" x14ac:dyDescent="0.25">
      <c r="Y242" s="185">
        <v>3</v>
      </c>
      <c r="Z242" s="185" t="e">
        <f ca="1"/>
        <v>#NAME?</v>
      </c>
      <c r="AA242" s="185" t="e">
        <f ca="1"/>
        <v>#NAME?</v>
      </c>
      <c r="AB242" s="185" t="e">
        <f ca="1">Z242/AA242</f>
        <v>#NAME?</v>
      </c>
      <c r="AC242" s="185" t="e">
        <f ca="1">TDIST(ABS(AB242),$Z$236,2)</f>
        <v>#NAME?</v>
      </c>
      <c r="AD242" s="185" t="e">
        <f ca="1">Z242-TINV(AD$233,$Z$236)*AA242</f>
        <v>#NAME?</v>
      </c>
      <c r="AE242" s="185" t="e">
        <f ca="1">Z242+TINV(AD$233,$Z$236)*AA242</f>
        <v>#NAME?</v>
      </c>
      <c r="AF242" s="185" t="e">
        <f ca="1">VIF(S4:T45,2)</f>
        <v>#NAME?</v>
      </c>
    </row>
  </sheetData>
  <mergeCells count="3">
    <mergeCell ref="F2:R2"/>
    <mergeCell ref="S2:T2"/>
    <mergeCell ref="U2:V2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4"/>
  <dimension ref="A1:V43"/>
  <sheetViews>
    <sheetView zoomScaleNormal="100" workbookViewId="0"/>
  </sheetViews>
  <sheetFormatPr defaultRowHeight="15" x14ac:dyDescent="0.25"/>
  <cols>
    <col min="9" max="9" width="9.140625" customWidth="1"/>
    <col min="10" max="10" width="10.42578125" customWidth="1"/>
    <col min="16" max="16" width="17" customWidth="1"/>
    <col min="21" max="21" width="9.140625" customWidth="1"/>
  </cols>
  <sheetData>
    <row r="1" spans="1:22" x14ac:dyDescent="0.25">
      <c r="A1" s="1" t="s">
        <v>648</v>
      </c>
    </row>
    <row r="3" spans="1:22" x14ac:dyDescent="0.25">
      <c r="A3" s="318" t="s">
        <v>2</v>
      </c>
      <c r="B3" s="12" t="s">
        <v>269</v>
      </c>
      <c r="C3" s="12" t="s">
        <v>270</v>
      </c>
      <c r="D3" s="12" t="s">
        <v>271</v>
      </c>
      <c r="F3" t="s">
        <v>764</v>
      </c>
      <c r="J3" t="s">
        <v>12</v>
      </c>
      <c r="P3" t="s">
        <v>562</v>
      </c>
    </row>
    <row r="4" spans="1:22" x14ac:dyDescent="0.25">
      <c r="A4" s="319" t="s">
        <v>267</v>
      </c>
      <c r="B4" s="323">
        <v>250</v>
      </c>
      <c r="C4" s="324">
        <v>278</v>
      </c>
      <c r="D4" s="325">
        <v>442</v>
      </c>
    </row>
    <row r="5" spans="1:22" ht="15.75" thickBot="1" x14ac:dyDescent="0.3">
      <c r="A5" s="107"/>
      <c r="B5" s="122">
        <v>65</v>
      </c>
      <c r="C5" s="123">
        <v>207</v>
      </c>
      <c r="D5" s="124">
        <v>341</v>
      </c>
      <c r="F5" t="e">
        <f t="array" aca="1" ref="F5:H43" ca="1">Anova2Std(A3:D16)</f>
        <v>#NAME?</v>
      </c>
      <c r="G5" t="e">
        <f ca="1"/>
        <v>#NAME?</v>
      </c>
      <c r="H5" t="e">
        <f ca="1"/>
        <v>#NAME?</v>
      </c>
      <c r="J5" t="s">
        <v>502</v>
      </c>
      <c r="K5" t="str">
        <f ca="1">IF(COUNTIF(K7:M9,K7)=COUNT(K7:M9),"balanced","unbalanced")</f>
        <v>balanced</v>
      </c>
      <c r="P5" t="s">
        <v>84</v>
      </c>
      <c r="T5" s="321" t="s">
        <v>17</v>
      </c>
      <c r="U5" s="321">
        <v>0.05</v>
      </c>
    </row>
    <row r="6" spans="1:22" ht="15.75" thickTop="1" x14ac:dyDescent="0.25">
      <c r="A6" s="107"/>
      <c r="B6" s="122">
        <v>251</v>
      </c>
      <c r="C6" s="123">
        <v>261</v>
      </c>
      <c r="D6" s="124">
        <v>384</v>
      </c>
      <c r="F6" t="e">
        <f ca="1"/>
        <v>#NAME?</v>
      </c>
      <c r="G6" t="e">
        <f ca="1"/>
        <v>#NAME?</v>
      </c>
      <c r="H6" t="e">
        <f ca="1"/>
        <v>#NAME?</v>
      </c>
      <c r="K6" t="e">
        <f t="array" aca="1" ref="K6:M6" ca="1">TRANSPOSE(SortUnique(G5:G43))</f>
        <v>#NAME?</v>
      </c>
      <c r="L6" t="e">
        <f ca="1"/>
        <v>#NAME?</v>
      </c>
      <c r="M6" t="e">
        <f ca="1"/>
        <v>#NAME?</v>
      </c>
      <c r="P6" s="191"/>
      <c r="Q6" s="191" t="s">
        <v>76</v>
      </c>
      <c r="R6" s="191" t="s">
        <v>37</v>
      </c>
      <c r="S6" s="191" t="s">
        <v>78</v>
      </c>
      <c r="T6" s="191" t="s">
        <v>68</v>
      </c>
      <c r="U6" s="191" t="s">
        <v>101</v>
      </c>
      <c r="V6" s="191" t="s">
        <v>108</v>
      </c>
    </row>
    <row r="7" spans="1:22" x14ac:dyDescent="0.25">
      <c r="A7" s="107"/>
      <c r="B7" s="122">
        <v>103</v>
      </c>
      <c r="C7" s="123">
        <v>286</v>
      </c>
      <c r="D7" s="124">
        <v>401</v>
      </c>
      <c r="F7" t="e">
        <f ca="1"/>
        <v>#NAME?</v>
      </c>
      <c r="G7" t="e">
        <f ca="1"/>
        <v>#NAME?</v>
      </c>
      <c r="H7" t="e">
        <f ca="1"/>
        <v>#NAME?</v>
      </c>
      <c r="J7" t="e">
        <f t="array" aca="1" ref="J7:J9" ca="1">SortUnique(F5:F43)</f>
        <v>#NAME?</v>
      </c>
      <c r="K7" s="301">
        <f t="array" ref="K7" ca="1">COUNTIFS($F$5:$F$43,$J7,$G$5:$G$43,K$6)</f>
        <v>39</v>
      </c>
      <c r="L7" s="302">
        <f t="array" ref="L7" ca="1">COUNTIFS($F$5:$F$43,$J7,$G$5:$G$43,L$6)</f>
        <v>39</v>
      </c>
      <c r="M7" s="303">
        <f t="array" ref="M7" ca="1">COUNTIFS($F$5:$F$43,$J7,$G$5:$G$43,M$6)</f>
        <v>39</v>
      </c>
      <c r="N7">
        <f t="array" ref="N7" ca="1">SUM(K7:M7)</f>
        <v>117</v>
      </c>
      <c r="P7" t="s">
        <v>259</v>
      </c>
      <c r="Q7" t="e">
        <f ca="1">Q14-Q10</f>
        <v>#NAME?</v>
      </c>
      <c r="R7">
        <f ca="1">K10-1</f>
        <v>116</v>
      </c>
    </row>
    <row r="8" spans="1:22" x14ac:dyDescent="0.25">
      <c r="A8" s="272" t="s">
        <v>268</v>
      </c>
      <c r="B8" s="326">
        <v>54</v>
      </c>
      <c r="C8" s="327">
        <v>172</v>
      </c>
      <c r="D8" s="328">
        <v>307</v>
      </c>
      <c r="F8" t="e">
        <f ca="1"/>
        <v>#NAME?</v>
      </c>
      <c r="G8" t="e">
        <f ca="1"/>
        <v>#NAME?</v>
      </c>
      <c r="H8" t="e">
        <f ca="1"/>
        <v>#NAME?</v>
      </c>
      <c r="J8" t="e">
        <f ca="1"/>
        <v>#NAME?</v>
      </c>
      <c r="K8" s="76">
        <f t="array" ref="K8" ca="1">COUNTIFS($F$5:$F$43,$J8,$G$5:$G$43,K$6)</f>
        <v>39</v>
      </c>
      <c r="L8" s="7">
        <f t="array" ref="L8" ca="1">COUNTIFS($F$5:$F$43,$J8,$G$5:$G$43,L$6)</f>
        <v>39</v>
      </c>
      <c r="M8" s="35">
        <f t="array" ref="M8" ca="1">COUNTIFS($F$5:$F$43,$J8,$G$5:$G$43,M$6)</f>
        <v>39</v>
      </c>
      <c r="N8">
        <f t="array" ref="N8" ca="1">SUM(K8:M8)</f>
        <v>117</v>
      </c>
      <c r="P8" t="s">
        <v>563</v>
      </c>
      <c r="Q8" t="e">
        <f ca="1">SSRRow(A3:D16)</f>
        <v>#NAME?</v>
      </c>
      <c r="R8">
        <f ca="1">COUNT(N14:N16)-1</f>
        <v>-1</v>
      </c>
      <c r="S8" t="e">
        <f ca="1">Q8/R8</f>
        <v>#NAME?</v>
      </c>
      <c r="T8" t="e">
        <f ca="1">S8/S9</f>
        <v>#NAME?</v>
      </c>
      <c r="U8" t="e">
        <f ca="1">FDIST(T8,R8,R9)</f>
        <v>#NAME?</v>
      </c>
      <c r="V8" t="e">
        <f ca="1">FINV(U5,R8,R9)</f>
        <v>#NUM!</v>
      </c>
    </row>
    <row r="9" spans="1:22" x14ac:dyDescent="0.25">
      <c r="A9" s="78"/>
      <c r="B9" s="122">
        <v>20</v>
      </c>
      <c r="C9" s="123">
        <v>116</v>
      </c>
      <c r="D9" s="124">
        <v>425</v>
      </c>
      <c r="F9" t="e">
        <f ca="1"/>
        <v>#NAME?</v>
      </c>
      <c r="G9" t="e">
        <f ca="1"/>
        <v>#NAME?</v>
      </c>
      <c r="H9" t="e">
        <f ca="1"/>
        <v>#NAME?</v>
      </c>
      <c r="J9" t="e">
        <f ca="1"/>
        <v>#NAME?</v>
      </c>
      <c r="K9" s="182">
        <f t="array" ref="K9" ca="1">COUNTIFS($F$5:$F$43,$J9,$G$5:$G$43,K$6)</f>
        <v>39</v>
      </c>
      <c r="L9" s="183">
        <f t="array" ref="L9" ca="1">COUNTIFS($F$5:$F$43,$J9,$G$5:$G$43,L$6)</f>
        <v>39</v>
      </c>
      <c r="M9" s="184">
        <f t="array" ref="M9" ca="1">COUNTIFS($F$5:$F$43,$J9,$G$5:$G$43,M$6)</f>
        <v>39</v>
      </c>
      <c r="N9">
        <f t="array" ref="N9" ca="1">SUM(K9:M9)</f>
        <v>117</v>
      </c>
      <c r="P9" t="s">
        <v>564</v>
      </c>
      <c r="Q9" t="e">
        <f ca="1">Q7-Q8</f>
        <v>#NAME?</v>
      </c>
      <c r="R9">
        <f ca="1">R7-R8</f>
        <v>117</v>
      </c>
      <c r="S9" t="e">
        <f ca="1">Q9/R9</f>
        <v>#NAME?</v>
      </c>
    </row>
    <row r="10" spans="1:22" x14ac:dyDescent="0.25">
      <c r="A10" s="78"/>
      <c r="B10" s="122">
        <v>41</v>
      </c>
      <c r="C10" s="123">
        <v>168</v>
      </c>
      <c r="D10" s="124">
        <v>378</v>
      </c>
      <c r="F10" t="e">
        <f ca="1"/>
        <v>#NAME?</v>
      </c>
      <c r="G10" t="e">
        <f ca="1"/>
        <v>#NAME?</v>
      </c>
      <c r="H10" t="e">
        <f ca="1"/>
        <v>#NAME?</v>
      </c>
      <c r="K10">
        <f t="array" ref="K10" ca="1">SUM(K7:K9)</f>
        <v>117</v>
      </c>
      <c r="L10">
        <f t="array" ref="L10" ca="1">SUM(L7:L9)</f>
        <v>117</v>
      </c>
      <c r="M10">
        <f t="array" ref="M10" ca="1">SUM(M7:M9)</f>
        <v>117</v>
      </c>
      <c r="N10">
        <f t="array" ref="N10" ca="1">SUM(N7:N9)</f>
        <v>351</v>
      </c>
      <c r="P10" t="s">
        <v>261</v>
      </c>
      <c r="Q10" t="e">
        <f ca="1">SSRW(B4:D16)</f>
        <v>#NAME?</v>
      </c>
      <c r="R10">
        <f ca="1">R14-R7</f>
        <v>234</v>
      </c>
    </row>
    <row r="11" spans="1:22" x14ac:dyDescent="0.25">
      <c r="A11" s="78"/>
      <c r="B11" s="122">
        <v>29</v>
      </c>
      <c r="C11" s="123">
        <v>81</v>
      </c>
      <c r="D11" s="124">
        <v>193</v>
      </c>
      <c r="F11" t="e">
        <f ca="1"/>
        <v>#NAME?</v>
      </c>
      <c r="G11" t="e">
        <f ca="1"/>
        <v>#NAME?</v>
      </c>
      <c r="H11" t="e">
        <f ca="1"/>
        <v>#NAME?</v>
      </c>
      <c r="P11" t="s">
        <v>565</v>
      </c>
      <c r="Q11" t="e">
        <f ca="1">SSBet(B4:D16)</f>
        <v>#NAME?</v>
      </c>
      <c r="R11">
        <f ca="1">COUNT(K17:M17)-1</f>
        <v>-1</v>
      </c>
      <c r="S11" t="e">
        <f ca="1">Q11/R11</f>
        <v>#NAME?</v>
      </c>
      <c r="T11" t="e">
        <f ca="1">S11/S13</f>
        <v>#NAME?</v>
      </c>
      <c r="U11" t="e">
        <f ca="1">FDIST(T11,R11,R13)</f>
        <v>#NAME?</v>
      </c>
      <c r="V11" t="e">
        <f ca="1">FINV(U5,R11,R13)</f>
        <v>#NUM!</v>
      </c>
    </row>
    <row r="12" spans="1:22" x14ac:dyDescent="0.25">
      <c r="A12" s="58"/>
      <c r="B12" s="125">
        <v>3</v>
      </c>
      <c r="C12" s="225">
        <v>54</v>
      </c>
      <c r="D12" s="127">
        <v>285</v>
      </c>
      <c r="F12" t="e">
        <f ca="1"/>
        <v>#NAME?</v>
      </c>
      <c r="G12" t="e">
        <f ca="1"/>
        <v>#NAME?</v>
      </c>
      <c r="H12" t="e">
        <f ca="1"/>
        <v>#NAME?</v>
      </c>
      <c r="J12" t="s">
        <v>125</v>
      </c>
      <c r="P12" t="s">
        <v>566</v>
      </c>
      <c r="Q12" t="e">
        <f ca="1">SSRInt(A3:D16)</f>
        <v>#NAME?</v>
      </c>
      <c r="R12">
        <f ca="1">R8*R11</f>
        <v>1</v>
      </c>
      <c r="S12" t="e">
        <f ca="1">Q12/R12</f>
        <v>#NAME?</v>
      </c>
      <c r="T12" t="e">
        <f ca="1">S12/S13</f>
        <v>#NAME?</v>
      </c>
      <c r="U12" t="e">
        <f ca="1">FDIST(T12,R12,R13)</f>
        <v>#NAME?</v>
      </c>
      <c r="V12">
        <f ca="1">FINV(U5,R12,R13)</f>
        <v>3.8815053755433415</v>
      </c>
    </row>
    <row r="13" spans="1:22" x14ac:dyDescent="0.25">
      <c r="A13" s="272" t="s">
        <v>45</v>
      </c>
      <c r="B13" s="122">
        <v>118</v>
      </c>
      <c r="C13" s="123">
        <v>124</v>
      </c>
      <c r="D13" s="124">
        <v>365</v>
      </c>
      <c r="F13" t="e">
        <f ca="1"/>
        <v>#NAME?</v>
      </c>
      <c r="G13" t="e">
        <f ca="1"/>
        <v>#NAME?</v>
      </c>
      <c r="H13" t="e">
        <f ca="1"/>
        <v>#NAME?</v>
      </c>
      <c r="K13" t="e">
        <f t="array" aca="1" ref="K13:M13" ca="1">TRANSPOSE(SortUnique(G5:G43))</f>
        <v>#NAME?</v>
      </c>
      <c r="L13" t="e">
        <f ca="1"/>
        <v>#NAME?</v>
      </c>
      <c r="M13" t="e">
        <f ca="1"/>
        <v>#NAME?</v>
      </c>
      <c r="P13" t="s">
        <v>564</v>
      </c>
      <c r="Q13" t="e">
        <f ca="1">Q10-Q11-Q12</f>
        <v>#NAME?</v>
      </c>
      <c r="R13">
        <f ca="1">R10-R11-R12</f>
        <v>234</v>
      </c>
      <c r="S13" t="e">
        <f ca="1">Q13/R13</f>
        <v>#NAME?</v>
      </c>
    </row>
    <row r="14" spans="1:22" x14ac:dyDescent="0.25">
      <c r="A14" s="78"/>
      <c r="B14" s="122">
        <v>83</v>
      </c>
      <c r="C14" s="123">
        <v>266</v>
      </c>
      <c r="D14" s="124">
        <v>382</v>
      </c>
      <c r="F14" t="e">
        <f ca="1"/>
        <v>#NAME?</v>
      </c>
      <c r="G14" t="e">
        <f ca="1"/>
        <v>#NAME?</v>
      </c>
      <c r="H14" t="e">
        <f ca="1"/>
        <v>#NAME?</v>
      </c>
      <c r="J14" t="e">
        <f t="array" aca="1" ref="J14:J16" ca="1">SortUnique(F5:F43)</f>
        <v>#NAME?</v>
      </c>
      <c r="K14" s="301" t="e">
        <f t="array" ref="K14" ca="1">AVERAGEIFS($H$5:$H$43,$F$5:$F$43,$J14,$G$5:$G$43,K$13)</f>
        <v>#NAME?</v>
      </c>
      <c r="L14" s="302" t="e">
        <f t="array" ref="L14" ca="1">AVERAGEIFS($H$5:$H$43,$F$5:$F$43,$J14,$G$5:$G$43,L$13)</f>
        <v>#NAME?</v>
      </c>
      <c r="M14" s="303" t="e">
        <f t="array" ref="M14" ca="1">AVERAGEIFS($H$5:$H$43,$F$5:$F$43,$J14,$G$5:$G$43,M$13)</f>
        <v>#NAME?</v>
      </c>
      <c r="N14" t="e">
        <f t="array" ref="N14" ca="1">AVERAGE(K14:M14)</f>
        <v>#NAME?</v>
      </c>
      <c r="P14" s="185" t="s">
        <v>1</v>
      </c>
      <c r="Q14" s="185" t="e">
        <f ca="1">S14*R14</f>
        <v>#NAME?</v>
      </c>
      <c r="R14" s="185">
        <f ca="1">N10-1</f>
        <v>350</v>
      </c>
      <c r="S14" s="185" t="e">
        <f ca="1">N24</f>
        <v>#NAME?</v>
      </c>
      <c r="T14" s="185"/>
      <c r="U14" s="185"/>
      <c r="V14" s="185"/>
    </row>
    <row r="15" spans="1:22" x14ac:dyDescent="0.25">
      <c r="A15" s="78"/>
      <c r="B15" s="122">
        <v>38</v>
      </c>
      <c r="C15" s="123">
        <v>207</v>
      </c>
      <c r="D15" s="124">
        <v>289</v>
      </c>
      <c r="F15" t="e">
        <f ca="1"/>
        <v>#NAME?</v>
      </c>
      <c r="G15" t="e">
        <f ca="1"/>
        <v>#NAME?</v>
      </c>
      <c r="H15" t="e">
        <f ca="1"/>
        <v>#NAME?</v>
      </c>
      <c r="J15" t="e">
        <f ca="1"/>
        <v>#NAME?</v>
      </c>
      <c r="K15" s="76" t="e">
        <f t="array" ref="K15" ca="1">AVERAGEIFS($H$5:$H$43,$F$5:$F$43,$J15,$G$5:$G$43,K$13)</f>
        <v>#NAME?</v>
      </c>
      <c r="L15" s="7" t="e">
        <f t="array" ref="L15" ca="1">AVERAGEIFS($H$5:$H$43,$F$5:$F$43,$J15,$G$5:$G$43,L$13)</f>
        <v>#NAME?</v>
      </c>
      <c r="M15" s="35" t="e">
        <f t="array" ref="M15" ca="1">AVERAGEIFS($H$5:$H$43,$F$5:$F$43,$J15,$G$5:$G$43,M$13)</f>
        <v>#NAME?</v>
      </c>
      <c r="N15" t="e">
        <f t="array" ref="N15" ca="1">AVERAGE(K15:M15)</f>
        <v>#NAME?</v>
      </c>
    </row>
    <row r="16" spans="1:22" x14ac:dyDescent="0.25">
      <c r="A16" s="58"/>
      <c r="B16" s="125">
        <v>71</v>
      </c>
      <c r="C16" s="225">
        <v>285</v>
      </c>
      <c r="D16" s="127">
        <v>471</v>
      </c>
      <c r="F16" t="e">
        <f ca="1"/>
        <v>#NAME?</v>
      </c>
      <c r="G16" t="e">
        <f ca="1"/>
        <v>#NAME?</v>
      </c>
      <c r="H16" t="e">
        <f ca="1"/>
        <v>#NAME?</v>
      </c>
      <c r="J16" t="e">
        <f ca="1"/>
        <v>#NAME?</v>
      </c>
      <c r="K16" s="182" t="e">
        <f t="array" ref="K16" ca="1">AVERAGEIFS($H$5:$H$43,$F$5:$F$43,$J16,$G$5:$G$43,K$13)</f>
        <v>#NAME?</v>
      </c>
      <c r="L16" s="183" t="e">
        <f t="array" ref="L16" ca="1">AVERAGEIFS($H$5:$H$43,$F$5:$F$43,$J16,$G$5:$G$43,L$13)</f>
        <v>#NAME?</v>
      </c>
      <c r="M16" s="184" t="e">
        <f t="array" ref="M16" ca="1">AVERAGEIFS($H$5:$H$43,$F$5:$F$43,$J16,$G$5:$G$43,M$13)</f>
        <v>#NAME?</v>
      </c>
      <c r="N16" t="e">
        <f t="array" ref="N16" ca="1">AVERAGE(K16:M16)</f>
        <v>#NAME?</v>
      </c>
    </row>
    <row r="17" spans="6:22" ht="15.75" thickBot="1" x14ac:dyDescent="0.3">
      <c r="F17" t="e">
        <f ca="1"/>
        <v>#NAME?</v>
      </c>
      <c r="G17" t="e">
        <f ca="1"/>
        <v>#NAME?</v>
      </c>
      <c r="H17" t="e">
        <f ca="1"/>
        <v>#NAME?</v>
      </c>
      <c r="K17" t="e">
        <f t="array" ref="K17" ca="1">AVERAGE(K14:K16)</f>
        <v>#NAME?</v>
      </c>
      <c r="L17" t="e">
        <f t="array" ref="L17" ca="1">AVERAGE(L14:L16)</f>
        <v>#NAME?</v>
      </c>
      <c r="M17" t="e">
        <f t="array" ref="M17" ca="1">AVERAGE(M14:M16)</f>
        <v>#NAME?</v>
      </c>
      <c r="N17" t="e">
        <f t="array" ref="N17" ca="1">AVERAGE(N14:N16)</f>
        <v>#NAME?</v>
      </c>
      <c r="P17" t="s">
        <v>160</v>
      </c>
      <c r="T17" t="s">
        <v>17</v>
      </c>
      <c r="U17">
        <v>0.05</v>
      </c>
    </row>
    <row r="18" spans="6:22" ht="15.75" thickTop="1" x14ac:dyDescent="0.25">
      <c r="F18" t="e">
        <f ca="1"/>
        <v>#NAME?</v>
      </c>
      <c r="G18" t="e">
        <f ca="1"/>
        <v>#NAME?</v>
      </c>
      <c r="H18" t="e">
        <f ca="1"/>
        <v>#NAME?</v>
      </c>
      <c r="P18" s="191" t="s">
        <v>100</v>
      </c>
      <c r="Q18" s="191" t="s">
        <v>76</v>
      </c>
      <c r="R18" s="191" t="s">
        <v>37</v>
      </c>
      <c r="S18" s="191" t="s">
        <v>78</v>
      </c>
      <c r="T18" s="191" t="s">
        <v>68</v>
      </c>
      <c r="U18" s="191" t="s">
        <v>101</v>
      </c>
      <c r="V18" s="191" t="s">
        <v>102</v>
      </c>
    </row>
    <row r="19" spans="6:22" x14ac:dyDescent="0.25">
      <c r="F19" t="e">
        <f ca="1"/>
        <v>#NAME?</v>
      </c>
      <c r="G19" t="e">
        <f ca="1"/>
        <v>#NAME?</v>
      </c>
      <c r="H19" t="e">
        <f ca="1"/>
        <v>#NAME?</v>
      </c>
      <c r="J19" t="s">
        <v>503</v>
      </c>
      <c r="P19" t="s">
        <v>123</v>
      </c>
      <c r="Q19" t="e">
        <f ca="1">Q11</f>
        <v>#NAME?</v>
      </c>
      <c r="R19" t="e">
        <f ca="1">R11*K$26</f>
        <v>#NAME?</v>
      </c>
      <c r="S19" t="e">
        <f ca="1">Q19/R19</f>
        <v>#NAME?</v>
      </c>
      <c r="T19" t="e">
        <f ca="1">S19/S21</f>
        <v>#NAME?</v>
      </c>
      <c r="U19" t="e">
        <f ca="1">F_DIST_RT(T19,R19,R21)</f>
        <v>#NAME?</v>
      </c>
      <c r="V19" t="e">
        <f ca="1">F_INV_RT(U17,R19,R21)</f>
        <v>#NAME?</v>
      </c>
    </row>
    <row r="20" spans="6:22" x14ac:dyDescent="0.25">
      <c r="F20" t="e">
        <f ca="1"/>
        <v>#NAME?</v>
      </c>
      <c r="G20" t="e">
        <f ca="1"/>
        <v>#NAME?</v>
      </c>
      <c r="H20" t="e">
        <f ca="1"/>
        <v>#NAME?</v>
      </c>
      <c r="K20" t="e">
        <f t="array" aca="1" ref="K20:M20" ca="1">TRANSPOSE(SortUnique(G5:G43))</f>
        <v>#NAME?</v>
      </c>
      <c r="L20" t="e">
        <f ca="1"/>
        <v>#NAME?</v>
      </c>
      <c r="M20" t="e">
        <f ca="1"/>
        <v>#NAME?</v>
      </c>
      <c r="P20" t="s">
        <v>97</v>
      </c>
      <c r="Q20" t="e">
        <f ca="1">Q12</f>
        <v>#NAME?</v>
      </c>
      <c r="R20" t="e">
        <f ca="1">R12*K$26</f>
        <v>#NAME?</v>
      </c>
      <c r="S20" t="e">
        <f ca="1">Q20/R20</f>
        <v>#NAME?</v>
      </c>
      <c r="T20" t="e">
        <f ca="1">S20/S21</f>
        <v>#NAME?</v>
      </c>
      <c r="U20" t="e">
        <f ca="1">F_DIST_RT(T20,R20,R21)</f>
        <v>#NAME?</v>
      </c>
      <c r="V20" t="e">
        <f ca="1">F_INV_RT(U17,R20,R21)</f>
        <v>#NAME?</v>
      </c>
    </row>
    <row r="21" spans="6:22" x14ac:dyDescent="0.25">
      <c r="F21" t="e">
        <f ca="1"/>
        <v>#NAME?</v>
      </c>
      <c r="G21" t="e">
        <f ca="1"/>
        <v>#NAME?</v>
      </c>
      <c r="H21" t="e">
        <f ca="1"/>
        <v>#NAME?</v>
      </c>
      <c r="J21" t="e">
        <f t="array" aca="1" ref="J21:J23" ca="1">SortUnique(F5:F43)</f>
        <v>#NAME?</v>
      </c>
      <c r="K21" s="301" t="e">
        <f t="array" aca="1" ref="K21" ca="1">VAR(IF(($F$5:$F$43=$J21)*($G$5:$G$43=K$20),$H$5:$H$43))</f>
        <v>#NAME?</v>
      </c>
      <c r="L21" s="302" t="e">
        <f t="array" aca="1" ref="L21" ca="1">VAR(IF(($F$5:$F$43=$J21)*($G$5:$G$43=L$20),$H$5:$H$43))</f>
        <v>#NAME?</v>
      </c>
      <c r="M21" s="303" t="e">
        <f t="array" aca="1" ref="M21" ca="1">VAR(IF(($F$5:$F$43=$J21)*($G$5:$G$43=M$20),$H$5:$H$43))</f>
        <v>#NAME?</v>
      </c>
      <c r="N21" t="e">
        <f t="array" aca="1" ref="N21" ca="1">VAR(IF($F$5:$F$43=$J21,$H$5:$H$43))</f>
        <v>#NAME?</v>
      </c>
      <c r="P21" t="s">
        <v>122</v>
      </c>
      <c r="Q21" t="e">
        <f ca="1">Q13</f>
        <v>#NAME?</v>
      </c>
      <c r="R21" t="e">
        <f ca="1">R13*K$26</f>
        <v>#NAME?</v>
      </c>
      <c r="S21" t="e">
        <f ca="1">Q21/R21</f>
        <v>#NAME?</v>
      </c>
    </row>
    <row r="22" spans="6:22" x14ac:dyDescent="0.25">
      <c r="F22" t="e">
        <f ca="1"/>
        <v>#NAME?</v>
      </c>
      <c r="G22" t="e">
        <f ca="1"/>
        <v>#NAME?</v>
      </c>
      <c r="H22" t="e">
        <f ca="1"/>
        <v>#NAME?</v>
      </c>
      <c r="J22" t="e">
        <f ca="1"/>
        <v>#NAME?</v>
      </c>
      <c r="K22" s="76" t="e">
        <f t="array" aca="1" ref="K22" ca="1">VAR(IF(($F$5:$F$43=$J22)*($G$5:$G$43=K$20),$H$5:$H$43))</f>
        <v>#NAME?</v>
      </c>
      <c r="L22" s="7" t="e">
        <f t="array" aca="1" ref="L22" ca="1">VAR(IF(($F$5:$F$43=$J22)*($G$5:$G$43=L$20),$H$5:$H$43))</f>
        <v>#NAME?</v>
      </c>
      <c r="M22" s="35" t="e">
        <f t="array" aca="1" ref="M22" ca="1">VAR(IF(($F$5:$F$43=$J22)*($G$5:$G$43=M$20),$H$5:$H$43))</f>
        <v>#NAME?</v>
      </c>
      <c r="N22" t="e">
        <f t="array" aca="1" ref="N22" ca="1">VAR(IF($F$5:$F$43=$J22,$H$5:$H$43))</f>
        <v>#NAME?</v>
      </c>
      <c r="P22" s="304"/>
      <c r="Q22" s="304"/>
      <c r="R22" s="304"/>
      <c r="S22" s="304"/>
      <c r="T22" s="304"/>
      <c r="U22" s="304"/>
      <c r="V22" s="304"/>
    </row>
    <row r="23" spans="6:22" ht="15.75" thickBot="1" x14ac:dyDescent="0.3">
      <c r="F23" t="e">
        <f ca="1"/>
        <v>#NAME?</v>
      </c>
      <c r="G23" t="e">
        <f ca="1"/>
        <v>#NAME?</v>
      </c>
      <c r="H23" t="e">
        <f ca="1"/>
        <v>#NAME?</v>
      </c>
      <c r="J23" t="e">
        <f ca="1"/>
        <v>#NAME?</v>
      </c>
      <c r="K23" s="182" t="e">
        <f t="array" aca="1" ref="K23" ca="1">VAR(IF(($F$5:$F$43=$J23)*($G$5:$G$43=K$20),$H$5:$H$43))</f>
        <v>#NAME?</v>
      </c>
      <c r="L23" s="183" t="e">
        <f t="array" aca="1" ref="L23" ca="1">VAR(IF(($F$5:$F$43=$J23)*($G$5:$G$43=L$20),$H$5:$H$43))</f>
        <v>#NAME?</v>
      </c>
      <c r="M23" s="184" t="e">
        <f t="array" aca="1" ref="M23" ca="1">VAR(IF(($F$5:$F$43=$J23)*($G$5:$G$43=M$20),$H$5:$H$43))</f>
        <v>#NAME?</v>
      </c>
      <c r="N23" t="e">
        <f t="array" aca="1" ref="N23" ca="1">VAR(IF($F$5:$F$43=$J23,$H$5:$H$43))</f>
        <v>#NAME?</v>
      </c>
      <c r="P23" t="s">
        <v>161</v>
      </c>
      <c r="T23" t="s">
        <v>17</v>
      </c>
      <c r="U23">
        <v>0.05</v>
      </c>
    </row>
    <row r="24" spans="6:22" ht="15.75" thickTop="1" x14ac:dyDescent="0.25">
      <c r="F24" t="e">
        <f ca="1"/>
        <v>#NAME?</v>
      </c>
      <c r="G24" t="e">
        <f ca="1"/>
        <v>#NAME?</v>
      </c>
      <c r="H24" t="e">
        <f ca="1"/>
        <v>#NAME?</v>
      </c>
      <c r="K24" t="e">
        <f t="array" aca="1" ref="K24" ca="1">VAR(IF($G$5:$G$43=K$20,$H$5:$H$43))</f>
        <v>#NAME?</v>
      </c>
      <c r="L24" t="e">
        <f t="array" aca="1" ref="L24" ca="1">VAR(IF($G$5:$G$43=L$20,$H$5:$H$43))</f>
        <v>#NAME?</v>
      </c>
      <c r="M24" t="e">
        <f t="array" aca="1" ref="M24" ca="1">VAR(IF($G$5:$G$43=M$20,$H$5:$H$43))</f>
        <v>#NAME?</v>
      </c>
      <c r="N24" t="e">
        <f ca="1">VAR(H5:H43)</f>
        <v>#NAME?</v>
      </c>
      <c r="P24" s="191" t="s">
        <v>100</v>
      </c>
      <c r="Q24" s="191" t="s">
        <v>76</v>
      </c>
      <c r="R24" s="191" t="s">
        <v>37</v>
      </c>
      <c r="S24" s="191" t="s">
        <v>78</v>
      </c>
      <c r="T24" s="191" t="s">
        <v>68</v>
      </c>
      <c r="U24" s="191" t="s">
        <v>101</v>
      </c>
      <c r="V24" s="191" t="s">
        <v>102</v>
      </c>
    </row>
    <row r="25" spans="6:22" x14ac:dyDescent="0.25">
      <c r="F25" t="e">
        <f ca="1"/>
        <v>#NAME?</v>
      </c>
      <c r="G25" t="e">
        <f ca="1"/>
        <v>#NAME?</v>
      </c>
      <c r="H25" t="e">
        <f ca="1"/>
        <v>#NAME?</v>
      </c>
      <c r="P25" t="s">
        <v>123</v>
      </c>
      <c r="Q25" t="e">
        <f ca="1">Q11</f>
        <v>#NAME?</v>
      </c>
      <c r="R25" t="e">
        <f ca="1">R11*K$27</f>
        <v>#NAME?</v>
      </c>
      <c r="S25" t="e">
        <f ca="1">Q25/R25</f>
        <v>#NAME?</v>
      </c>
      <c r="T25" t="e">
        <f ca="1">S25/S27</f>
        <v>#NAME?</v>
      </c>
      <c r="U25" t="e">
        <f ca="1">F_DIST_RT(T25,R25,R27)</f>
        <v>#NAME?</v>
      </c>
      <c r="V25" t="e">
        <f ca="1">F_INV_RT(U23,R25,R27)</f>
        <v>#NAME?</v>
      </c>
    </row>
    <row r="26" spans="6:22" x14ac:dyDescent="0.25">
      <c r="F26" t="e">
        <f ca="1"/>
        <v>#NAME?</v>
      </c>
      <c r="G26" t="e">
        <f ca="1"/>
        <v>#NAME?</v>
      </c>
      <c r="H26" t="e">
        <f ca="1"/>
        <v>#NAME?</v>
      </c>
      <c r="J26" t="s">
        <v>560</v>
      </c>
      <c r="K26" s="306" t="e">
        <f ca="1">GG_Epsilon(A3:D16)</f>
        <v>#NAME?</v>
      </c>
      <c r="P26" t="s">
        <v>97</v>
      </c>
      <c r="Q26" t="e">
        <f ca="1">Q12</f>
        <v>#NAME?</v>
      </c>
      <c r="R26" t="e">
        <f ca="1">R12*K$27</f>
        <v>#NAME?</v>
      </c>
      <c r="S26" t="e">
        <f ca="1">Q26/R26</f>
        <v>#NAME?</v>
      </c>
      <c r="T26" t="e">
        <f ca="1">S26/S27</f>
        <v>#NAME?</v>
      </c>
      <c r="U26" t="e">
        <f ca="1">F_DIST_RT(T26,R26,R27)</f>
        <v>#NAME?</v>
      </c>
      <c r="V26" t="e">
        <f ca="1">F_INV_RT(U23,R26,R27)</f>
        <v>#NAME?</v>
      </c>
    </row>
    <row r="27" spans="6:22" x14ac:dyDescent="0.25">
      <c r="F27" t="e">
        <f ca="1"/>
        <v>#NAME?</v>
      </c>
      <c r="G27" t="e">
        <f ca="1"/>
        <v>#NAME?</v>
      </c>
      <c r="H27" t="e">
        <f ca="1"/>
        <v>#NAME?</v>
      </c>
      <c r="J27" t="s">
        <v>561</v>
      </c>
      <c r="K27" s="180" t="e">
        <f ca="1">HF_Epsilon(A3:D16)</f>
        <v>#NAME?</v>
      </c>
      <c r="P27" t="s">
        <v>122</v>
      </c>
      <c r="Q27" t="e">
        <f ca="1">Q13</f>
        <v>#NAME?</v>
      </c>
      <c r="R27" t="e">
        <f ca="1">R13*K$27</f>
        <v>#NAME?</v>
      </c>
      <c r="S27" t="e">
        <f ca="1">Q27/R27</f>
        <v>#NAME?</v>
      </c>
    </row>
    <row r="28" spans="6:22" x14ac:dyDescent="0.25">
      <c r="F28" t="e">
        <f ca="1"/>
        <v>#NAME?</v>
      </c>
      <c r="G28" t="e">
        <f ca="1"/>
        <v>#NAME?</v>
      </c>
      <c r="H28" t="e">
        <f ca="1"/>
        <v>#NAME?</v>
      </c>
      <c r="P28" s="304"/>
      <c r="Q28" s="304"/>
      <c r="R28" s="304"/>
      <c r="S28" s="304"/>
      <c r="T28" s="304"/>
      <c r="U28" s="304"/>
      <c r="V28" s="304"/>
    </row>
    <row r="29" spans="6:22" x14ac:dyDescent="0.25">
      <c r="F29" t="e">
        <f ca="1"/>
        <v>#NAME?</v>
      </c>
      <c r="G29" t="e">
        <f ca="1"/>
        <v>#NAME?</v>
      </c>
      <c r="H29" t="e">
        <f ca="1"/>
        <v>#NAME?</v>
      </c>
    </row>
    <row r="30" spans="6:22" x14ac:dyDescent="0.25">
      <c r="F30" t="e">
        <f ca="1"/>
        <v>#NAME?</v>
      </c>
      <c r="G30" t="e">
        <f ca="1"/>
        <v>#NAME?</v>
      </c>
      <c r="H30" t="e">
        <f ca="1"/>
        <v>#NAME?</v>
      </c>
    </row>
    <row r="31" spans="6:22" x14ac:dyDescent="0.25">
      <c r="F31" t="e">
        <f ca="1"/>
        <v>#NAME?</v>
      </c>
      <c r="G31" t="e">
        <f ca="1"/>
        <v>#NAME?</v>
      </c>
      <c r="H31" t="e">
        <f ca="1"/>
        <v>#NAME?</v>
      </c>
    </row>
    <row r="32" spans="6:22" x14ac:dyDescent="0.25">
      <c r="F32" t="e">
        <f ca="1"/>
        <v>#NAME?</v>
      </c>
      <c r="G32" t="e">
        <f ca="1"/>
        <v>#NAME?</v>
      </c>
      <c r="H32" t="e">
        <f ca="1"/>
        <v>#NAME?</v>
      </c>
    </row>
    <row r="33" spans="6:8" x14ac:dyDescent="0.25">
      <c r="F33" t="e">
        <f ca="1"/>
        <v>#NAME?</v>
      </c>
      <c r="G33" t="e">
        <f ca="1"/>
        <v>#NAME?</v>
      </c>
      <c r="H33" t="e">
        <f ca="1"/>
        <v>#NAME?</v>
      </c>
    </row>
    <row r="34" spans="6:8" x14ac:dyDescent="0.25">
      <c r="F34" t="e">
        <f ca="1"/>
        <v>#NAME?</v>
      </c>
      <c r="G34" t="e">
        <f ca="1"/>
        <v>#NAME?</v>
      </c>
      <c r="H34" t="e">
        <f ca="1"/>
        <v>#NAME?</v>
      </c>
    </row>
    <row r="35" spans="6:8" x14ac:dyDescent="0.25">
      <c r="F35" t="e">
        <f ca="1"/>
        <v>#NAME?</v>
      </c>
      <c r="G35" t="e">
        <f ca="1"/>
        <v>#NAME?</v>
      </c>
      <c r="H35" t="e">
        <f ca="1"/>
        <v>#NAME?</v>
      </c>
    </row>
    <row r="36" spans="6:8" x14ac:dyDescent="0.25">
      <c r="F36" t="e">
        <f ca="1"/>
        <v>#NAME?</v>
      </c>
      <c r="G36" t="e">
        <f ca="1"/>
        <v>#NAME?</v>
      </c>
      <c r="H36" t="e">
        <f ca="1"/>
        <v>#NAME?</v>
      </c>
    </row>
    <row r="37" spans="6:8" x14ac:dyDescent="0.25">
      <c r="F37" t="e">
        <f ca="1"/>
        <v>#NAME?</v>
      </c>
      <c r="G37" t="e">
        <f ca="1"/>
        <v>#NAME?</v>
      </c>
      <c r="H37" t="e">
        <f ca="1"/>
        <v>#NAME?</v>
      </c>
    </row>
    <row r="38" spans="6:8" x14ac:dyDescent="0.25">
      <c r="F38" t="e">
        <f ca="1"/>
        <v>#NAME?</v>
      </c>
      <c r="G38" t="e">
        <f ca="1"/>
        <v>#NAME?</v>
      </c>
      <c r="H38" t="e">
        <f ca="1"/>
        <v>#NAME?</v>
      </c>
    </row>
    <row r="39" spans="6:8" x14ac:dyDescent="0.25">
      <c r="F39" t="e">
        <f ca="1"/>
        <v>#NAME?</v>
      </c>
      <c r="G39" t="e">
        <f ca="1"/>
        <v>#NAME?</v>
      </c>
      <c r="H39" t="e">
        <f ca="1"/>
        <v>#NAME?</v>
      </c>
    </row>
    <row r="40" spans="6:8" x14ac:dyDescent="0.25">
      <c r="F40" t="e">
        <f ca="1"/>
        <v>#NAME?</v>
      </c>
      <c r="G40" t="e">
        <f ca="1"/>
        <v>#NAME?</v>
      </c>
      <c r="H40" t="e">
        <f ca="1"/>
        <v>#NAME?</v>
      </c>
    </row>
    <row r="41" spans="6:8" x14ac:dyDescent="0.25">
      <c r="F41" t="e">
        <f ca="1"/>
        <v>#NAME?</v>
      </c>
      <c r="G41" t="e">
        <f ca="1"/>
        <v>#NAME?</v>
      </c>
      <c r="H41" t="e">
        <f ca="1"/>
        <v>#NAME?</v>
      </c>
    </row>
    <row r="42" spans="6:8" x14ac:dyDescent="0.25">
      <c r="F42" t="e">
        <f ca="1"/>
        <v>#NAME?</v>
      </c>
      <c r="G42" t="e">
        <f ca="1"/>
        <v>#NAME?</v>
      </c>
      <c r="H42" t="e">
        <f ca="1"/>
        <v>#NAME?</v>
      </c>
    </row>
    <row r="43" spans="6:8" x14ac:dyDescent="0.25">
      <c r="F43" t="e">
        <f ca="1"/>
        <v>#NAME?</v>
      </c>
      <c r="G43" t="e">
        <f ca="1"/>
        <v>#NAME?</v>
      </c>
      <c r="H43" t="e">
        <f ca="1"/>
        <v>#NAME?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2"/>
  <dimension ref="A1:V42"/>
  <sheetViews>
    <sheetView workbookViewId="0"/>
  </sheetViews>
  <sheetFormatPr defaultRowHeight="15" x14ac:dyDescent="0.25"/>
  <cols>
    <col min="2" max="2" width="8" customWidth="1"/>
    <col min="3" max="3" width="6.28515625" customWidth="1"/>
    <col min="16" max="16" width="17.42578125" customWidth="1"/>
  </cols>
  <sheetData>
    <row r="1" spans="1:22" x14ac:dyDescent="0.25">
      <c r="A1" s="1" t="s">
        <v>648</v>
      </c>
    </row>
    <row r="3" spans="1:22" x14ac:dyDescent="0.25">
      <c r="A3" s="276" t="s">
        <v>2</v>
      </c>
      <c r="B3" s="276" t="s">
        <v>765</v>
      </c>
      <c r="C3" s="271" t="s">
        <v>766</v>
      </c>
      <c r="E3" t="s">
        <v>767</v>
      </c>
      <c r="J3" t="s">
        <v>12</v>
      </c>
      <c r="P3" t="s">
        <v>562</v>
      </c>
    </row>
    <row r="4" spans="1:22" x14ac:dyDescent="0.25">
      <c r="A4" t="s">
        <v>267</v>
      </c>
      <c r="B4" t="s">
        <v>269</v>
      </c>
      <c r="C4">
        <v>250</v>
      </c>
    </row>
    <row r="5" spans="1:22" ht="15.75" thickBot="1" x14ac:dyDescent="0.3">
      <c r="A5" t="s">
        <v>267</v>
      </c>
      <c r="B5" t="s">
        <v>270</v>
      </c>
      <c r="C5">
        <v>278</v>
      </c>
      <c r="E5" t="e">
        <f t="array" aca="1" ref="E5:H20" ca="1">StdAnova2(A4:C42)</f>
        <v>#NAME?</v>
      </c>
      <c r="F5" t="e">
        <f ca="1"/>
        <v>#NAME?</v>
      </c>
      <c r="G5" t="e">
        <f ca="1"/>
        <v>#NAME?</v>
      </c>
      <c r="H5" t="e">
        <f ca="1"/>
        <v>#NAME?</v>
      </c>
      <c r="J5" t="s">
        <v>502</v>
      </c>
      <c r="K5" t="str">
        <f ca="1">IF(COUNTIF(K7:M9,K7)=COUNT(K7:M9),"balanced","unbalanced")</f>
        <v>balanced</v>
      </c>
      <c r="P5" t="s">
        <v>84</v>
      </c>
      <c r="T5" s="321" t="s">
        <v>17</v>
      </c>
      <c r="U5" s="321">
        <v>0.05</v>
      </c>
    </row>
    <row r="6" spans="1:22" ht="15.75" thickTop="1" x14ac:dyDescent="0.25">
      <c r="A6" t="s">
        <v>267</v>
      </c>
      <c r="B6" t="s">
        <v>271</v>
      </c>
      <c r="C6">
        <v>442</v>
      </c>
      <c r="E6" t="e">
        <f ca="1"/>
        <v>#NAME?</v>
      </c>
      <c r="F6" s="301" t="e">
        <f ca="1"/>
        <v>#NAME?</v>
      </c>
      <c r="G6" s="302" t="e">
        <f ca="1"/>
        <v>#NAME?</v>
      </c>
      <c r="H6" s="303" t="e">
        <f ca="1"/>
        <v>#NAME?</v>
      </c>
      <c r="K6" t="e">
        <f t="array" aca="1" ref="K6:M6" ca="1">TRANSPOSE(SortUnique(B4:B42))</f>
        <v>#NAME?</v>
      </c>
      <c r="L6" t="e">
        <f ca="1"/>
        <v>#NAME?</v>
      </c>
      <c r="M6" t="e">
        <f ca="1"/>
        <v>#NAME?</v>
      </c>
      <c r="P6" s="191"/>
      <c r="Q6" s="191" t="s">
        <v>76</v>
      </c>
      <c r="R6" s="191" t="s">
        <v>37</v>
      </c>
      <c r="S6" s="191" t="s">
        <v>78</v>
      </c>
      <c r="T6" s="191" t="s">
        <v>68</v>
      </c>
      <c r="U6" s="191" t="s">
        <v>101</v>
      </c>
      <c r="V6" s="191" t="s">
        <v>108</v>
      </c>
    </row>
    <row r="7" spans="1:22" x14ac:dyDescent="0.25">
      <c r="A7" t="s">
        <v>267</v>
      </c>
      <c r="B7" t="s">
        <v>269</v>
      </c>
      <c r="C7">
        <v>65</v>
      </c>
      <c r="E7" t="e">
        <f ca="1"/>
        <v>#NAME?</v>
      </c>
      <c r="F7" s="76" t="e">
        <f ca="1"/>
        <v>#NAME?</v>
      </c>
      <c r="G7" s="7" t="e">
        <f ca="1"/>
        <v>#NAME?</v>
      </c>
      <c r="H7" s="35" t="e">
        <f ca="1"/>
        <v>#NAME?</v>
      </c>
      <c r="J7" t="e">
        <f t="array" aca="1" ref="J7:J9" ca="1">SortUnique(A4:A42)</f>
        <v>#NAME?</v>
      </c>
      <c r="K7" s="301">
        <f t="array" ref="K7" ca="1">COUNTIFS($A$4:$A$42,$J7,$B$4:$B$42,K$6)</f>
        <v>0</v>
      </c>
      <c r="L7" s="302">
        <f t="array" ref="L7" ca="1">COUNTIFS($A$4:$A$42,$J7,$B$4:$B$42,L$6)</f>
        <v>0</v>
      </c>
      <c r="M7" s="303">
        <f t="array" ref="M7" ca="1">COUNTIFS($A$4:$A$42,$J7,$B$4:$B$42,M$6)</f>
        <v>0</v>
      </c>
      <c r="N7">
        <f t="array" ref="N7" ca="1">SUM(K7:M7)</f>
        <v>0</v>
      </c>
      <c r="P7" t="s">
        <v>259</v>
      </c>
      <c r="Q7" t="e">
        <f ca="1">Q14-Q10</f>
        <v>#NAME?</v>
      </c>
      <c r="R7">
        <f ca="1">K10-1</f>
        <v>-1</v>
      </c>
    </row>
    <row r="8" spans="1:22" x14ac:dyDescent="0.25">
      <c r="A8" t="s">
        <v>267</v>
      </c>
      <c r="B8" t="s">
        <v>270</v>
      </c>
      <c r="C8">
        <v>207</v>
      </c>
      <c r="E8" t="e">
        <f ca="1"/>
        <v>#NAME?</v>
      </c>
      <c r="F8" s="76" t="e">
        <f ca="1"/>
        <v>#NAME?</v>
      </c>
      <c r="G8" s="7" t="e">
        <f ca="1"/>
        <v>#NAME?</v>
      </c>
      <c r="H8" s="35" t="e">
        <f ca="1"/>
        <v>#NAME?</v>
      </c>
      <c r="J8" t="e">
        <f ca="1"/>
        <v>#NAME?</v>
      </c>
      <c r="K8" s="76">
        <f t="array" ref="K8" ca="1">COUNTIFS($A$4:$A$42,$J8,$B$4:$B$42,K$6)</f>
        <v>0</v>
      </c>
      <c r="L8" s="7">
        <f t="array" ref="L8" ca="1">COUNTIFS($A$4:$A$42,$J8,$B$4:$B$42,L$6)</f>
        <v>0</v>
      </c>
      <c r="M8" s="35">
        <f t="array" ref="M8" ca="1">COUNTIFS($A$4:$A$42,$J8,$B$4:$B$42,M$6)</f>
        <v>0</v>
      </c>
      <c r="N8">
        <f t="array" ref="N8" ca="1">SUM(K8:M8)</f>
        <v>0</v>
      </c>
      <c r="P8" t="s">
        <v>563</v>
      </c>
      <c r="Q8" t="e">
        <f ca="1">SSRRow(E5:H20)</f>
        <v>#NAME?</v>
      </c>
      <c r="R8">
        <f ca="1">COUNT(N14:N16)-1</f>
        <v>-1</v>
      </c>
      <c r="S8" t="e">
        <f ca="1">Q8/R8</f>
        <v>#NAME?</v>
      </c>
      <c r="T8" t="e">
        <f ca="1">S8/S9</f>
        <v>#NAME?</v>
      </c>
      <c r="U8" t="e">
        <f ca="1">FDIST(T8,R8,R9)</f>
        <v>#NAME?</v>
      </c>
      <c r="V8" t="e">
        <f ca="1">FINV(U5,R8,R9)</f>
        <v>#NUM!</v>
      </c>
    </row>
    <row r="9" spans="1:22" x14ac:dyDescent="0.25">
      <c r="A9" t="s">
        <v>267</v>
      </c>
      <c r="B9" t="s">
        <v>271</v>
      </c>
      <c r="C9">
        <v>341</v>
      </c>
      <c r="E9" t="e">
        <f ca="1"/>
        <v>#NAME?</v>
      </c>
      <c r="F9" s="76" t="e">
        <f ca="1"/>
        <v>#NAME?</v>
      </c>
      <c r="G9" s="7" t="e">
        <f ca="1"/>
        <v>#NAME?</v>
      </c>
      <c r="H9" s="35" t="e">
        <f ca="1"/>
        <v>#NAME?</v>
      </c>
      <c r="J9" t="e">
        <f ca="1"/>
        <v>#NAME?</v>
      </c>
      <c r="K9" s="182">
        <f t="array" ref="K9" ca="1">COUNTIFS($A$4:$A$42,$J9,$B$4:$B$42,K$6)</f>
        <v>0</v>
      </c>
      <c r="L9" s="183">
        <f t="array" ref="L9" ca="1">COUNTIFS($A$4:$A$42,$J9,$B$4:$B$42,L$6)</f>
        <v>0</v>
      </c>
      <c r="M9" s="184">
        <f t="array" ref="M9" ca="1">COUNTIFS($A$4:$A$42,$J9,$B$4:$B$42,M$6)</f>
        <v>0</v>
      </c>
      <c r="N9">
        <f t="array" ref="N9" ca="1">SUM(K9:M9)</f>
        <v>0</v>
      </c>
      <c r="P9" t="s">
        <v>564</v>
      </c>
      <c r="Q9" t="e">
        <f ca="1">Q7-Q8</f>
        <v>#NAME?</v>
      </c>
      <c r="R9">
        <f ca="1">R7-R8</f>
        <v>0</v>
      </c>
      <c r="S9" t="e">
        <f ca="1">Q9/R9</f>
        <v>#NAME?</v>
      </c>
    </row>
    <row r="10" spans="1:22" x14ac:dyDescent="0.25">
      <c r="A10" t="s">
        <v>267</v>
      </c>
      <c r="B10" t="s">
        <v>269</v>
      </c>
      <c r="C10">
        <v>251</v>
      </c>
      <c r="E10" t="e">
        <f ca="1"/>
        <v>#NAME?</v>
      </c>
      <c r="F10" s="76" t="e">
        <f ca="1"/>
        <v>#NAME?</v>
      </c>
      <c r="G10" s="7" t="e">
        <f ca="1"/>
        <v>#NAME?</v>
      </c>
      <c r="H10" s="35" t="e">
        <f ca="1"/>
        <v>#NAME?</v>
      </c>
      <c r="K10">
        <f t="array" ref="K10" ca="1">SUM(K7:K9)</f>
        <v>0</v>
      </c>
      <c r="L10">
        <f t="array" ref="L10" ca="1">SUM(L7:L9)</f>
        <v>0</v>
      </c>
      <c r="M10">
        <f t="array" ref="M10" ca="1">SUM(M7:M9)</f>
        <v>0</v>
      </c>
      <c r="N10">
        <f t="array" ref="N10" ca="1">SUM(N7:N9)</f>
        <v>0</v>
      </c>
      <c r="P10" t="s">
        <v>261</v>
      </c>
      <c r="Q10" t="e">
        <f ca="1">SSRW(F6:H20)</f>
        <v>#NAME?</v>
      </c>
      <c r="R10">
        <f ca="1">R14-R7</f>
        <v>0</v>
      </c>
    </row>
    <row r="11" spans="1:22" x14ac:dyDescent="0.25">
      <c r="A11" t="s">
        <v>267</v>
      </c>
      <c r="B11" t="s">
        <v>270</v>
      </c>
      <c r="C11">
        <v>261</v>
      </c>
      <c r="E11" t="e">
        <f ca="1"/>
        <v>#NAME?</v>
      </c>
      <c r="F11" s="301" t="e">
        <f ca="1"/>
        <v>#NAME?</v>
      </c>
      <c r="G11" s="302" t="e">
        <f ca="1"/>
        <v>#NAME?</v>
      </c>
      <c r="H11" s="303" t="e">
        <f ca="1"/>
        <v>#NAME?</v>
      </c>
      <c r="P11" t="s">
        <v>565</v>
      </c>
      <c r="Q11" t="e">
        <f ca="1">SSBet(F6:H20)</f>
        <v>#NAME?</v>
      </c>
      <c r="R11">
        <f ca="1">COUNT(K17:M17)-1</f>
        <v>-1</v>
      </c>
      <c r="S11" t="e">
        <f ca="1">Q11/R11</f>
        <v>#NAME?</v>
      </c>
      <c r="T11" t="e">
        <f ca="1">S11/S13</f>
        <v>#NAME?</v>
      </c>
      <c r="U11" t="e">
        <f ca="1">FDIST(T11,R11,R13)</f>
        <v>#NAME?</v>
      </c>
      <c r="V11" t="e">
        <f ca="1">FINV(U5,R11,R13)</f>
        <v>#NUM!</v>
      </c>
    </row>
    <row r="12" spans="1:22" x14ac:dyDescent="0.25">
      <c r="A12" t="s">
        <v>267</v>
      </c>
      <c r="B12" t="s">
        <v>271</v>
      </c>
      <c r="C12">
        <v>384</v>
      </c>
      <c r="E12" t="e">
        <f ca="1"/>
        <v>#NAME?</v>
      </c>
      <c r="F12" s="76" t="e">
        <f ca="1"/>
        <v>#NAME?</v>
      </c>
      <c r="G12" s="7" t="e">
        <f ca="1"/>
        <v>#NAME?</v>
      </c>
      <c r="H12" s="35" t="e">
        <f ca="1"/>
        <v>#NAME?</v>
      </c>
      <c r="J12" t="s">
        <v>125</v>
      </c>
      <c r="P12" t="s">
        <v>566</v>
      </c>
      <c r="Q12" t="e">
        <f ca="1">SSRInt(E5:H20)</f>
        <v>#NAME?</v>
      </c>
      <c r="R12">
        <f ca="1">R8*R11</f>
        <v>1</v>
      </c>
      <c r="S12" t="e">
        <f ca="1">Q12/R12</f>
        <v>#NAME?</v>
      </c>
      <c r="T12" t="e">
        <f ca="1">S12/S13</f>
        <v>#NAME?</v>
      </c>
      <c r="U12" t="e">
        <f ca="1">FDIST(T12,R12,R13)</f>
        <v>#NAME?</v>
      </c>
      <c r="V12" t="e">
        <f ca="1">FINV(U5,R12,R13)</f>
        <v>#NUM!</v>
      </c>
    </row>
    <row r="13" spans="1:22" x14ac:dyDescent="0.25">
      <c r="A13" t="s">
        <v>267</v>
      </c>
      <c r="B13" t="s">
        <v>269</v>
      </c>
      <c r="C13">
        <v>103</v>
      </c>
      <c r="E13" t="e">
        <f ca="1"/>
        <v>#NAME?</v>
      </c>
      <c r="F13" s="76" t="e">
        <f ca="1"/>
        <v>#NAME?</v>
      </c>
      <c r="G13" s="7" t="e">
        <f ca="1"/>
        <v>#NAME?</v>
      </c>
      <c r="H13" s="35" t="e">
        <f ca="1"/>
        <v>#NAME?</v>
      </c>
      <c r="K13" t="e">
        <f t="array" aca="1" ref="K13:M13" ca="1">TRANSPOSE(SortUnique(B4:B42))</f>
        <v>#NAME?</v>
      </c>
      <c r="L13" t="e">
        <f ca="1"/>
        <v>#NAME?</v>
      </c>
      <c r="M13" t="e">
        <f ca="1"/>
        <v>#NAME?</v>
      </c>
      <c r="P13" t="s">
        <v>564</v>
      </c>
      <c r="Q13" t="e">
        <f ca="1">Q10-Q11-Q12</f>
        <v>#NAME?</v>
      </c>
      <c r="R13">
        <f ca="1">R10-R11-R12</f>
        <v>0</v>
      </c>
      <c r="S13" t="e">
        <f ca="1">Q13/R13</f>
        <v>#NAME?</v>
      </c>
    </row>
    <row r="14" spans="1:22" x14ac:dyDescent="0.25">
      <c r="A14" t="s">
        <v>267</v>
      </c>
      <c r="B14" t="s">
        <v>270</v>
      </c>
      <c r="C14">
        <v>286</v>
      </c>
      <c r="E14" t="e">
        <f ca="1"/>
        <v>#NAME?</v>
      </c>
      <c r="F14" s="76" t="e">
        <f ca="1"/>
        <v>#NAME?</v>
      </c>
      <c r="G14" s="7" t="e">
        <f ca="1"/>
        <v>#NAME?</v>
      </c>
      <c r="H14" s="35" t="e">
        <f ca="1"/>
        <v>#NAME?</v>
      </c>
      <c r="J14" t="e">
        <f t="array" aca="1" ref="J14:J16" ca="1">SortUnique(A4:A42)</f>
        <v>#NAME?</v>
      </c>
      <c r="K14" s="301" t="e">
        <f t="array" ref="K14" ca="1">AVERAGEIFS($C$4:$C$42,$A$4:$A$42,$J14,$B$4:$B$42,K$13)</f>
        <v>#DIV/0!</v>
      </c>
      <c r="L14" s="302" t="e">
        <f t="array" ref="L14" ca="1">AVERAGEIFS($C$4:$C$42,$A$4:$A$42,$J14,$B$4:$B$42,L$13)</f>
        <v>#DIV/0!</v>
      </c>
      <c r="M14" s="303" t="e">
        <f t="array" ref="M14" ca="1">AVERAGEIFS($C$4:$C$42,$A$4:$A$42,$J14,$B$4:$B$42,M$13)</f>
        <v>#DIV/0!</v>
      </c>
      <c r="N14" t="e">
        <f t="array" ref="N14" ca="1">AVERAGE(K14:M14)</f>
        <v>#DIV/0!</v>
      </c>
      <c r="P14" s="185" t="s">
        <v>1</v>
      </c>
      <c r="Q14" s="185">
        <f ca="1">S14*R14</f>
        <v>-18717.491228070179</v>
      </c>
      <c r="R14" s="185">
        <f ca="1">N10-1</f>
        <v>-1</v>
      </c>
      <c r="S14" s="185">
        <f>N24</f>
        <v>18717.491228070179</v>
      </c>
      <c r="T14" s="185"/>
      <c r="U14" s="185"/>
      <c r="V14" s="185"/>
    </row>
    <row r="15" spans="1:22" x14ac:dyDescent="0.25">
      <c r="A15" t="s">
        <v>267</v>
      </c>
      <c r="B15" t="s">
        <v>271</v>
      </c>
      <c r="C15">
        <v>401</v>
      </c>
      <c r="E15" t="e">
        <f ca="1"/>
        <v>#NAME?</v>
      </c>
      <c r="F15" s="182" t="e">
        <f ca="1"/>
        <v>#NAME?</v>
      </c>
      <c r="G15" s="183" t="e">
        <f ca="1"/>
        <v>#NAME?</v>
      </c>
      <c r="H15" s="184" t="e">
        <f ca="1"/>
        <v>#NAME?</v>
      </c>
      <c r="J15" t="e">
        <f ca="1"/>
        <v>#NAME?</v>
      </c>
      <c r="K15" s="76" t="e">
        <f t="array" ref="K15" ca="1">AVERAGEIFS($C$4:$C$42,$A$4:$A$42,$J15,$B$4:$B$42,K$13)</f>
        <v>#DIV/0!</v>
      </c>
      <c r="L15" s="7" t="e">
        <f t="array" ref="L15" ca="1">AVERAGEIFS($C$4:$C$42,$A$4:$A$42,$J15,$B$4:$B$42,L$13)</f>
        <v>#DIV/0!</v>
      </c>
      <c r="M15" s="35" t="e">
        <f t="array" ref="M15" ca="1">AVERAGEIFS($C$4:$C$42,$A$4:$A$42,$J15,$B$4:$B$42,M$13)</f>
        <v>#DIV/0!</v>
      </c>
      <c r="N15" t="e">
        <f t="array" ref="N15" ca="1">AVERAGE(K15:M15)</f>
        <v>#DIV/0!</v>
      </c>
    </row>
    <row r="16" spans="1:22" x14ac:dyDescent="0.25">
      <c r="A16" t="s">
        <v>268</v>
      </c>
      <c r="B16" t="s">
        <v>269</v>
      </c>
      <c r="C16">
        <v>54</v>
      </c>
      <c r="E16" t="e">
        <f ca="1"/>
        <v>#NAME?</v>
      </c>
      <c r="F16" s="301" t="e">
        <f ca="1"/>
        <v>#NAME?</v>
      </c>
      <c r="G16" s="302" t="e">
        <f ca="1"/>
        <v>#NAME?</v>
      </c>
      <c r="H16" s="303" t="e">
        <f ca="1"/>
        <v>#NAME?</v>
      </c>
      <c r="J16" t="e">
        <f ca="1"/>
        <v>#NAME?</v>
      </c>
      <c r="K16" s="182" t="e">
        <f t="array" ref="K16" ca="1">AVERAGEIFS($C$4:$C$42,$A$4:$A$42,$J16,$B$4:$B$42,K$13)</f>
        <v>#DIV/0!</v>
      </c>
      <c r="L16" s="183" t="e">
        <f t="array" ref="L16" ca="1">AVERAGEIFS($C$4:$C$42,$A$4:$A$42,$J16,$B$4:$B$42,L$13)</f>
        <v>#DIV/0!</v>
      </c>
      <c r="M16" s="184" t="e">
        <f t="array" ref="M16" ca="1">AVERAGEIFS($C$4:$C$42,$A$4:$A$42,$J16,$B$4:$B$42,M$13)</f>
        <v>#DIV/0!</v>
      </c>
      <c r="N16" t="e">
        <f t="array" ref="N16" ca="1">AVERAGE(K16:M16)</f>
        <v>#DIV/0!</v>
      </c>
    </row>
    <row r="17" spans="1:22" ht="15.75" thickBot="1" x14ac:dyDescent="0.3">
      <c r="A17" t="s">
        <v>268</v>
      </c>
      <c r="B17" t="s">
        <v>270</v>
      </c>
      <c r="C17">
        <v>172</v>
      </c>
      <c r="E17" t="e">
        <f ca="1"/>
        <v>#NAME?</v>
      </c>
      <c r="F17" s="76" t="e">
        <f ca="1"/>
        <v>#NAME?</v>
      </c>
      <c r="G17" s="7" t="e">
        <f ca="1"/>
        <v>#NAME?</v>
      </c>
      <c r="H17" s="35" t="e">
        <f ca="1"/>
        <v>#NAME?</v>
      </c>
      <c r="K17" t="e">
        <f t="array" ref="K17" ca="1">AVERAGE(K14:K16)</f>
        <v>#DIV/0!</v>
      </c>
      <c r="L17" t="e">
        <f t="array" ref="L17" ca="1">AVERAGE(L14:L16)</f>
        <v>#DIV/0!</v>
      </c>
      <c r="M17" t="e">
        <f t="array" ref="M17" ca="1">AVERAGE(M14:M16)</f>
        <v>#DIV/0!</v>
      </c>
      <c r="N17" t="e">
        <f t="array" ref="N17" ca="1">AVERAGE(N14:N16)</f>
        <v>#DIV/0!</v>
      </c>
      <c r="P17" t="s">
        <v>160</v>
      </c>
      <c r="T17" t="s">
        <v>17</v>
      </c>
      <c r="U17">
        <v>0.05</v>
      </c>
    </row>
    <row r="18" spans="1:22" ht="15.75" thickTop="1" x14ac:dyDescent="0.25">
      <c r="A18" t="s">
        <v>268</v>
      </c>
      <c r="B18" t="s">
        <v>271</v>
      </c>
      <c r="C18">
        <v>307</v>
      </c>
      <c r="E18" t="e">
        <f ca="1"/>
        <v>#NAME?</v>
      </c>
      <c r="F18" s="76" t="e">
        <f ca="1"/>
        <v>#NAME?</v>
      </c>
      <c r="G18" s="7" t="e">
        <f ca="1"/>
        <v>#NAME?</v>
      </c>
      <c r="H18" s="35" t="e">
        <f ca="1"/>
        <v>#NAME?</v>
      </c>
      <c r="P18" s="191" t="s">
        <v>100</v>
      </c>
      <c r="Q18" s="191" t="s">
        <v>76</v>
      </c>
      <c r="R18" s="191" t="s">
        <v>37</v>
      </c>
      <c r="S18" s="191" t="s">
        <v>78</v>
      </c>
      <c r="T18" s="191" t="s">
        <v>68</v>
      </c>
      <c r="U18" s="191" t="s">
        <v>101</v>
      </c>
      <c r="V18" s="191" t="s">
        <v>102</v>
      </c>
    </row>
    <row r="19" spans="1:22" x14ac:dyDescent="0.25">
      <c r="A19" t="s">
        <v>268</v>
      </c>
      <c r="B19" t="s">
        <v>269</v>
      </c>
      <c r="C19">
        <v>20</v>
      </c>
      <c r="E19" t="e">
        <f ca="1"/>
        <v>#NAME?</v>
      </c>
      <c r="F19" s="76" t="e">
        <f ca="1"/>
        <v>#NAME?</v>
      </c>
      <c r="G19" s="7" t="e">
        <f ca="1"/>
        <v>#NAME?</v>
      </c>
      <c r="H19" s="35" t="e">
        <f ca="1"/>
        <v>#NAME?</v>
      </c>
      <c r="J19" t="s">
        <v>503</v>
      </c>
      <c r="P19" t="s">
        <v>123</v>
      </c>
      <c r="Q19" t="e">
        <f ca="1">Q11</f>
        <v>#NAME?</v>
      </c>
      <c r="R19" t="e">
        <f ca="1">R11*K$26</f>
        <v>#NAME?</v>
      </c>
      <c r="S19" t="e">
        <f ca="1">Q19/R19</f>
        <v>#NAME?</v>
      </c>
      <c r="T19" t="e">
        <f ca="1">S19/S21</f>
        <v>#NAME?</v>
      </c>
      <c r="U19" t="e">
        <f ca="1">F_DIST_RT(T19,R19,R21)</f>
        <v>#NAME?</v>
      </c>
      <c r="V19" t="e">
        <f ca="1">F_INV_RT(U17,R19,R21)</f>
        <v>#NAME?</v>
      </c>
    </row>
    <row r="20" spans="1:22" x14ac:dyDescent="0.25">
      <c r="A20" t="s">
        <v>268</v>
      </c>
      <c r="B20" t="s">
        <v>270</v>
      </c>
      <c r="C20">
        <v>116</v>
      </c>
      <c r="E20" t="e">
        <f ca="1"/>
        <v>#NAME?</v>
      </c>
      <c r="F20" s="182" t="e">
        <f ca="1"/>
        <v>#NAME?</v>
      </c>
      <c r="G20" s="183" t="e">
        <f ca="1"/>
        <v>#NAME?</v>
      </c>
      <c r="H20" s="184" t="e">
        <f ca="1"/>
        <v>#NAME?</v>
      </c>
      <c r="K20" t="e">
        <f t="array" aca="1" ref="K20:M20" ca="1">TRANSPOSE(SortUnique(B4:B42))</f>
        <v>#NAME?</v>
      </c>
      <c r="L20" t="e">
        <f ca="1"/>
        <v>#NAME?</v>
      </c>
      <c r="M20" t="e">
        <f ca="1"/>
        <v>#NAME?</v>
      </c>
      <c r="P20" t="s">
        <v>97</v>
      </c>
      <c r="Q20" t="e">
        <f ca="1">Q12</f>
        <v>#NAME?</v>
      </c>
      <c r="R20" t="e">
        <f ca="1">R12*K$26</f>
        <v>#NAME?</v>
      </c>
      <c r="S20" t="e">
        <f ca="1">Q20/R20</f>
        <v>#NAME?</v>
      </c>
      <c r="T20" t="e">
        <f ca="1">S20/S21</f>
        <v>#NAME?</v>
      </c>
      <c r="U20" t="e">
        <f ca="1">F_DIST_RT(T20,R20,R21)</f>
        <v>#NAME?</v>
      </c>
      <c r="V20" t="e">
        <f ca="1">F_INV_RT(U17,R20,R21)</f>
        <v>#NAME?</v>
      </c>
    </row>
    <row r="21" spans="1:22" x14ac:dyDescent="0.25">
      <c r="A21" t="s">
        <v>268</v>
      </c>
      <c r="B21" t="s">
        <v>271</v>
      </c>
      <c r="C21">
        <v>425</v>
      </c>
      <c r="J21" t="e">
        <f t="array" aca="1" ref="J21:J23" ca="1">SortUnique(A4:A42)</f>
        <v>#NAME?</v>
      </c>
      <c r="K21" s="301" t="e">
        <f t="array" aca="1" ref="K21" ca="1">VAR(IF(($A$4:$A$42=$J21)*($B$4:$B$42=K$20),$C$4:$C$42))</f>
        <v>#NAME?</v>
      </c>
      <c r="L21" s="302" t="e">
        <f t="array" aca="1" ref="L21" ca="1">VAR(IF(($A$4:$A$42=$J21)*($B$4:$B$42=L$20),$C$4:$C$42))</f>
        <v>#NAME?</v>
      </c>
      <c r="M21" s="303" t="e">
        <f t="array" aca="1" ref="M21" ca="1">VAR(IF(($A$4:$A$42=$J21)*($B$4:$B$42=M$20),$C$4:$C$42))</f>
        <v>#NAME?</v>
      </c>
      <c r="N21" t="e">
        <f t="array" aca="1" ref="N21" ca="1">VAR(IF($A$4:$A$42=$J21,$C$4:$C$42))</f>
        <v>#NAME?</v>
      </c>
      <c r="P21" t="s">
        <v>122</v>
      </c>
      <c r="Q21" t="e">
        <f ca="1">Q13</f>
        <v>#NAME?</v>
      </c>
      <c r="R21" t="e">
        <f ca="1">R13*K$26</f>
        <v>#NAME?</v>
      </c>
      <c r="S21" t="e">
        <f ca="1">Q21/R21</f>
        <v>#NAME?</v>
      </c>
    </row>
    <row r="22" spans="1:22" x14ac:dyDescent="0.25">
      <c r="A22" t="s">
        <v>268</v>
      </c>
      <c r="B22" t="s">
        <v>269</v>
      </c>
      <c r="C22">
        <v>41</v>
      </c>
      <c r="J22" t="e">
        <f ca="1"/>
        <v>#NAME?</v>
      </c>
      <c r="K22" s="76" t="e">
        <f t="array" aca="1" ref="K22" ca="1">VAR(IF(($A$4:$A$42=$J22)*($B$4:$B$42=K$20),$C$4:$C$42))</f>
        <v>#NAME?</v>
      </c>
      <c r="L22" s="7" t="e">
        <f t="array" aca="1" ref="L22" ca="1">VAR(IF(($A$4:$A$42=$J22)*($B$4:$B$42=L$20),$C$4:$C$42))</f>
        <v>#NAME?</v>
      </c>
      <c r="M22" s="35" t="e">
        <f t="array" aca="1" ref="M22" ca="1">VAR(IF(($A$4:$A$42=$J22)*($B$4:$B$42=M$20),$C$4:$C$42))</f>
        <v>#NAME?</v>
      </c>
      <c r="N22" t="e">
        <f t="array" aca="1" ref="N22" ca="1">VAR(IF($A$4:$A$42=$J22,$C$4:$C$42))</f>
        <v>#NAME?</v>
      </c>
      <c r="P22" s="304"/>
      <c r="Q22" s="304"/>
      <c r="R22" s="304"/>
      <c r="S22" s="304"/>
      <c r="T22" s="304"/>
      <c r="U22" s="304"/>
      <c r="V22" s="304"/>
    </row>
    <row r="23" spans="1:22" ht="15.75" thickBot="1" x14ac:dyDescent="0.3">
      <c r="A23" t="s">
        <v>268</v>
      </c>
      <c r="B23" t="s">
        <v>270</v>
      </c>
      <c r="C23">
        <v>168</v>
      </c>
      <c r="J23" t="e">
        <f ca="1"/>
        <v>#NAME?</v>
      </c>
      <c r="K23" s="182" t="e">
        <f t="array" aca="1" ref="K23" ca="1">VAR(IF(($A$4:$A$42=$J23)*($B$4:$B$42=K$20),$C$4:$C$42))</f>
        <v>#NAME?</v>
      </c>
      <c r="L23" s="183" t="e">
        <f t="array" aca="1" ref="L23" ca="1">VAR(IF(($A$4:$A$42=$J23)*($B$4:$B$42=L$20),$C$4:$C$42))</f>
        <v>#NAME?</v>
      </c>
      <c r="M23" s="184" t="e">
        <f t="array" aca="1" ref="M23" ca="1">VAR(IF(($A$4:$A$42=$J23)*($B$4:$B$42=M$20),$C$4:$C$42))</f>
        <v>#NAME?</v>
      </c>
      <c r="N23" t="e">
        <f t="array" aca="1" ref="N23" ca="1">VAR(IF($A$4:$A$42=$J23,$C$4:$C$42))</f>
        <v>#NAME?</v>
      </c>
      <c r="P23" t="s">
        <v>161</v>
      </c>
      <c r="T23" t="s">
        <v>17</v>
      </c>
      <c r="U23">
        <v>0.05</v>
      </c>
    </row>
    <row r="24" spans="1:22" ht="15.75" thickTop="1" x14ac:dyDescent="0.25">
      <c r="A24" t="s">
        <v>268</v>
      </c>
      <c r="B24" t="s">
        <v>271</v>
      </c>
      <c r="C24">
        <v>378</v>
      </c>
      <c r="K24" t="e">
        <f t="array" aca="1" ref="K24" ca="1">VAR(IF($B$4:$B$42=K$20,$C$4:$C$42))</f>
        <v>#NAME?</v>
      </c>
      <c r="L24" t="e">
        <f t="array" aca="1" ref="L24" ca="1">VAR(IF($B$4:$B$42=L$20,$C$4:$C$42))</f>
        <v>#NAME?</v>
      </c>
      <c r="M24" t="e">
        <f t="array" aca="1" ref="M24" ca="1">VAR(IF($B$4:$B$42=M$20,$C$4:$C$42))</f>
        <v>#NAME?</v>
      </c>
      <c r="N24">
        <f>VAR(C4:C42)</f>
        <v>18717.491228070179</v>
      </c>
      <c r="P24" s="191" t="s">
        <v>100</v>
      </c>
      <c r="Q24" s="191" t="s">
        <v>76</v>
      </c>
      <c r="R24" s="191" t="s">
        <v>37</v>
      </c>
      <c r="S24" s="191" t="s">
        <v>78</v>
      </c>
      <c r="T24" s="191" t="s">
        <v>68</v>
      </c>
      <c r="U24" s="191" t="s">
        <v>101</v>
      </c>
      <c r="V24" s="191" t="s">
        <v>102</v>
      </c>
    </row>
    <row r="25" spans="1:22" x14ac:dyDescent="0.25">
      <c r="A25" t="s">
        <v>268</v>
      </c>
      <c r="B25" t="s">
        <v>269</v>
      </c>
      <c r="C25">
        <v>29</v>
      </c>
      <c r="P25" t="s">
        <v>123</v>
      </c>
      <c r="Q25" t="e">
        <f ca="1">Q11</f>
        <v>#NAME?</v>
      </c>
      <c r="R25" t="e">
        <f ca="1">R11*K$27</f>
        <v>#NAME?</v>
      </c>
      <c r="S25" t="e">
        <f ca="1">Q25/R25</f>
        <v>#NAME?</v>
      </c>
      <c r="T25" t="e">
        <f ca="1">S25/S27</f>
        <v>#NAME?</v>
      </c>
      <c r="U25" t="e">
        <f ca="1">F_DIST_RT(T25,R25,R27)</f>
        <v>#NAME?</v>
      </c>
      <c r="V25" t="e">
        <f ca="1">F_INV_RT(U23,R25,R27)</f>
        <v>#NAME?</v>
      </c>
    </row>
    <row r="26" spans="1:22" x14ac:dyDescent="0.25">
      <c r="A26" t="s">
        <v>268</v>
      </c>
      <c r="B26" t="s">
        <v>270</v>
      </c>
      <c r="C26">
        <v>81</v>
      </c>
      <c r="J26" t="s">
        <v>560</v>
      </c>
      <c r="K26" s="306" t="e">
        <f ca="1">GG_Epsilon(E5:H20)</f>
        <v>#NAME?</v>
      </c>
      <c r="P26" t="s">
        <v>97</v>
      </c>
      <c r="Q26" t="e">
        <f ca="1">Q12</f>
        <v>#NAME?</v>
      </c>
      <c r="R26" t="e">
        <f ca="1">R12*K$27</f>
        <v>#NAME?</v>
      </c>
      <c r="S26" t="e">
        <f ca="1">Q26/R26</f>
        <v>#NAME?</v>
      </c>
      <c r="T26" t="e">
        <f ca="1">S26/S27</f>
        <v>#NAME?</v>
      </c>
      <c r="U26" t="e">
        <f ca="1">F_DIST_RT(T26,R26,R27)</f>
        <v>#NAME?</v>
      </c>
      <c r="V26" t="e">
        <f ca="1">F_INV_RT(U23,R26,R27)</f>
        <v>#NAME?</v>
      </c>
    </row>
    <row r="27" spans="1:22" x14ac:dyDescent="0.25">
      <c r="A27" t="s">
        <v>268</v>
      </c>
      <c r="B27" t="s">
        <v>271</v>
      </c>
      <c r="C27">
        <v>193</v>
      </c>
      <c r="J27" t="s">
        <v>561</v>
      </c>
      <c r="K27" s="180" t="e">
        <f ca="1">HF_Epsilon(E5:H20)</f>
        <v>#NAME?</v>
      </c>
      <c r="P27" t="s">
        <v>122</v>
      </c>
      <c r="Q27" t="e">
        <f ca="1">Q13</f>
        <v>#NAME?</v>
      </c>
      <c r="R27" t="e">
        <f ca="1">R13*K$27</f>
        <v>#NAME?</v>
      </c>
      <c r="S27" t="e">
        <f ca="1">Q27/R27</f>
        <v>#NAME?</v>
      </c>
    </row>
    <row r="28" spans="1:22" x14ac:dyDescent="0.25">
      <c r="A28" t="s">
        <v>268</v>
      </c>
      <c r="B28" t="s">
        <v>269</v>
      </c>
      <c r="C28">
        <v>3</v>
      </c>
      <c r="P28" s="304"/>
      <c r="Q28" s="304"/>
      <c r="R28" s="304"/>
      <c r="S28" s="304"/>
      <c r="T28" s="304"/>
      <c r="U28" s="304"/>
      <c r="V28" s="304"/>
    </row>
    <row r="29" spans="1:22" x14ac:dyDescent="0.25">
      <c r="A29" t="s">
        <v>268</v>
      </c>
      <c r="B29" t="s">
        <v>270</v>
      </c>
      <c r="C29">
        <v>54</v>
      </c>
    </row>
    <row r="30" spans="1:22" x14ac:dyDescent="0.25">
      <c r="A30" t="s">
        <v>268</v>
      </c>
      <c r="B30" t="s">
        <v>271</v>
      </c>
      <c r="C30">
        <v>285</v>
      </c>
    </row>
    <row r="31" spans="1:22" x14ac:dyDescent="0.25">
      <c r="A31" t="s">
        <v>45</v>
      </c>
      <c r="B31" t="s">
        <v>269</v>
      </c>
      <c r="C31">
        <v>118</v>
      </c>
    </row>
    <row r="32" spans="1:22" x14ac:dyDescent="0.25">
      <c r="A32" t="s">
        <v>45</v>
      </c>
      <c r="B32" t="s">
        <v>270</v>
      </c>
      <c r="C32">
        <v>124</v>
      </c>
    </row>
    <row r="33" spans="1:3" x14ac:dyDescent="0.25">
      <c r="A33" t="s">
        <v>45</v>
      </c>
      <c r="B33" t="s">
        <v>271</v>
      </c>
      <c r="C33">
        <v>365</v>
      </c>
    </row>
    <row r="34" spans="1:3" x14ac:dyDescent="0.25">
      <c r="A34" t="s">
        <v>45</v>
      </c>
      <c r="B34" t="s">
        <v>269</v>
      </c>
      <c r="C34">
        <v>83</v>
      </c>
    </row>
    <row r="35" spans="1:3" x14ac:dyDescent="0.25">
      <c r="A35" t="s">
        <v>45</v>
      </c>
      <c r="B35" t="s">
        <v>270</v>
      </c>
      <c r="C35">
        <v>266</v>
      </c>
    </row>
    <row r="36" spans="1:3" x14ac:dyDescent="0.25">
      <c r="A36" t="s">
        <v>45</v>
      </c>
      <c r="B36" t="s">
        <v>271</v>
      </c>
      <c r="C36">
        <v>382</v>
      </c>
    </row>
    <row r="37" spans="1:3" x14ac:dyDescent="0.25">
      <c r="A37" t="s">
        <v>45</v>
      </c>
      <c r="B37" t="s">
        <v>269</v>
      </c>
      <c r="C37">
        <v>38</v>
      </c>
    </row>
    <row r="38" spans="1:3" x14ac:dyDescent="0.25">
      <c r="A38" t="s">
        <v>45</v>
      </c>
      <c r="B38" t="s">
        <v>270</v>
      </c>
      <c r="C38">
        <v>207</v>
      </c>
    </row>
    <row r="39" spans="1:3" x14ac:dyDescent="0.25">
      <c r="A39" t="s">
        <v>45</v>
      </c>
      <c r="B39" t="s">
        <v>271</v>
      </c>
      <c r="C39">
        <v>289</v>
      </c>
    </row>
    <row r="40" spans="1:3" x14ac:dyDescent="0.25">
      <c r="A40" t="s">
        <v>45</v>
      </c>
      <c r="B40" t="s">
        <v>269</v>
      </c>
      <c r="C40">
        <v>71</v>
      </c>
    </row>
    <row r="41" spans="1:3" x14ac:dyDescent="0.25">
      <c r="A41" t="s">
        <v>45</v>
      </c>
      <c r="B41" t="s">
        <v>270</v>
      </c>
      <c r="C41">
        <v>285</v>
      </c>
    </row>
    <row r="42" spans="1:3" x14ac:dyDescent="0.25">
      <c r="A42" t="s">
        <v>45</v>
      </c>
      <c r="B42" t="s">
        <v>271</v>
      </c>
      <c r="C42">
        <v>471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4"/>
  <dimension ref="A1:X34"/>
  <sheetViews>
    <sheetView workbookViewId="0">
      <selection activeCell="O32" sqref="O32"/>
    </sheetView>
  </sheetViews>
  <sheetFormatPr defaultRowHeight="15" x14ac:dyDescent="0.25"/>
  <cols>
    <col min="1" max="1" width="8.42578125" customWidth="1"/>
    <col min="2" max="4" width="6.85546875" customWidth="1"/>
    <col min="6" max="6" width="8.7109375" customWidth="1"/>
    <col min="7" max="9" width="8" customWidth="1"/>
    <col min="14" max="14" width="17.7109375" customWidth="1"/>
  </cols>
  <sheetData>
    <row r="1" spans="1:24" x14ac:dyDescent="0.25">
      <c r="A1" s="1" t="s">
        <v>421</v>
      </c>
      <c r="W1" t="s">
        <v>550</v>
      </c>
    </row>
    <row r="3" spans="1:24" ht="15" customHeight="1" x14ac:dyDescent="0.25">
      <c r="A3" s="152" t="s">
        <v>145</v>
      </c>
      <c r="B3" s="152" t="s">
        <v>72</v>
      </c>
      <c r="C3" s="152" t="s">
        <v>422</v>
      </c>
      <c r="D3" s="152" t="s">
        <v>423</v>
      </c>
      <c r="F3" s="152" t="s">
        <v>145</v>
      </c>
      <c r="G3" s="12" t="s">
        <v>72</v>
      </c>
      <c r="H3" s="12" t="s">
        <v>422</v>
      </c>
      <c r="I3" s="12" t="s">
        <v>423</v>
      </c>
      <c r="K3" s="34" t="s">
        <v>410</v>
      </c>
      <c r="L3" s="158" t="e">
        <f ca="1">J17</f>
        <v>#NAME?</v>
      </c>
      <c r="N3" t="s">
        <v>121</v>
      </c>
      <c r="W3" t="s">
        <v>635</v>
      </c>
    </row>
    <row r="4" spans="1:24" ht="15.75" thickBot="1" x14ac:dyDescent="0.3">
      <c r="A4" s="152">
        <v>1</v>
      </c>
      <c r="B4" s="162">
        <v>10</v>
      </c>
      <c r="C4" s="163">
        <v>7</v>
      </c>
      <c r="D4" s="164">
        <v>8</v>
      </c>
      <c r="F4" s="152">
        <v>1</v>
      </c>
      <c r="G4" s="159" t="e">
        <f ca="1">RANK_AVG(B4,$B4:$D4,1)</f>
        <v>#NAME?</v>
      </c>
      <c r="H4" s="160" t="e">
        <f ca="1">RANK_AVG(C4,$B4:$D4,1)</f>
        <v>#NAME?</v>
      </c>
      <c r="I4" s="161" t="e">
        <f ca="1">RANK_AVG(D4,$B4:$D4,1)</f>
        <v>#NAME?</v>
      </c>
      <c r="K4" t="s">
        <v>34</v>
      </c>
      <c r="L4" s="78">
        <f>COUNTA(B3:D3)</f>
        <v>3</v>
      </c>
    </row>
    <row r="5" spans="1:24" x14ac:dyDescent="0.25">
      <c r="A5" s="152">
        <f>A4+1</f>
        <v>2</v>
      </c>
      <c r="B5" s="115">
        <v>8</v>
      </c>
      <c r="C5" s="153">
        <v>5</v>
      </c>
      <c r="D5" s="72">
        <v>5</v>
      </c>
      <c r="F5" s="152">
        <f>F4+1</f>
        <v>2</v>
      </c>
      <c r="G5" s="107" t="e">
        <f ca="1">RANK_AVG(B5,$B5:$D5,1)</f>
        <v>#NAME?</v>
      </c>
      <c r="H5" s="7" t="e">
        <f ca="1">RANK_AVG(C5,$B5:$D5,1)</f>
        <v>#NAME?</v>
      </c>
      <c r="I5" s="108" t="e">
        <f ca="1">RANK_AVG(D5,$B5:$D5,1)</f>
        <v>#NAME?</v>
      </c>
      <c r="K5" t="s">
        <v>120</v>
      </c>
      <c r="L5" s="78">
        <f>COUNT(B4:B15)</f>
        <v>12</v>
      </c>
      <c r="N5" s="154" t="s">
        <v>39</v>
      </c>
      <c r="O5" s="154" t="s">
        <v>11</v>
      </c>
      <c r="P5" s="154" t="s">
        <v>10</v>
      </c>
      <c r="Q5" s="154" t="s">
        <v>106</v>
      </c>
      <c r="R5" s="154" t="s">
        <v>48</v>
      </c>
      <c r="W5" t="s">
        <v>17</v>
      </c>
      <c r="X5" s="250">
        <v>0.05</v>
      </c>
    </row>
    <row r="6" spans="1:24" x14ac:dyDescent="0.25">
      <c r="A6" s="152">
        <f t="shared" ref="A6:A15" si="0">A5+1</f>
        <v>3</v>
      </c>
      <c r="B6" s="115">
        <v>7</v>
      </c>
      <c r="C6" s="153">
        <v>8</v>
      </c>
      <c r="D6" s="72">
        <v>6</v>
      </c>
      <c r="F6" s="152">
        <f t="shared" ref="F6:F15" si="1">F5+1</f>
        <v>3</v>
      </c>
      <c r="G6" s="107" t="e">
        <f ca="1">RANK_AVG(B6,$B6:$D6,1)</f>
        <v>#NAME?</v>
      </c>
      <c r="H6" s="7" t="e">
        <f ca="1">RANK_AVG(C6,$B6:$D6,1)</f>
        <v>#NAME?</v>
      </c>
      <c r="I6" s="108" t="e">
        <f ca="1">RANK_AVG(D6,$B6:$D6,1)</f>
        <v>#NAME?</v>
      </c>
      <c r="K6" s="49" t="s">
        <v>420</v>
      </c>
      <c r="L6" s="78" t="e">
        <f ca="1">12/(L5*L4*(L4+1))*J17-3*L5*(L4+1)</f>
        <v>#NAME?</v>
      </c>
      <c r="N6" s="16">
        <v>1</v>
      </c>
      <c r="O6" s="16">
        <v>3</v>
      </c>
      <c r="P6" s="16">
        <v>6</v>
      </c>
      <c r="Q6" s="16">
        <v>2</v>
      </c>
      <c r="R6" s="16">
        <v>1</v>
      </c>
    </row>
    <row r="7" spans="1:24" x14ac:dyDescent="0.25">
      <c r="A7" s="152">
        <f t="shared" si="0"/>
        <v>4</v>
      </c>
      <c r="B7" s="115">
        <v>9</v>
      </c>
      <c r="C7" s="153">
        <v>6</v>
      </c>
      <c r="D7" s="72">
        <v>4</v>
      </c>
      <c r="F7" s="152">
        <f t="shared" si="1"/>
        <v>4</v>
      </c>
      <c r="G7" s="107" t="e">
        <f ca="1">RANK_AVG(B7,$B7:$D7,1)</f>
        <v>#NAME?</v>
      </c>
      <c r="H7" s="7" t="e">
        <f ca="1">RANK_AVG(C7,$B7:$D7,1)</f>
        <v>#NAME?</v>
      </c>
      <c r="I7" s="108" t="e">
        <f ca="1">RANK_AVG(D7,$B7:$D7,1)</f>
        <v>#NAME?</v>
      </c>
      <c r="K7" s="49" t="s">
        <v>37</v>
      </c>
      <c r="L7" s="78">
        <f ca="1">COUNTA(G5:I5)-1</f>
        <v>2</v>
      </c>
      <c r="N7" s="16">
        <v>2</v>
      </c>
      <c r="O7" s="16">
        <v>3</v>
      </c>
      <c r="P7" s="16">
        <v>6</v>
      </c>
      <c r="Q7" s="16">
        <v>2</v>
      </c>
      <c r="R7" s="16">
        <v>0.75</v>
      </c>
      <c r="W7" t="s">
        <v>636</v>
      </c>
      <c r="X7" s="251" t="e">
        <f ca="1">FRIEDMAN(B4:D15)</f>
        <v>#NAME?</v>
      </c>
    </row>
    <row r="8" spans="1:24" x14ac:dyDescent="0.25">
      <c r="A8" s="152">
        <f t="shared" si="0"/>
        <v>5</v>
      </c>
      <c r="B8" s="115">
        <v>7</v>
      </c>
      <c r="C8" s="153">
        <v>5</v>
      </c>
      <c r="D8" s="72">
        <v>7</v>
      </c>
      <c r="F8" s="152">
        <f t="shared" si="1"/>
        <v>5</v>
      </c>
      <c r="G8" s="107" t="e">
        <f ca="1">RANK_AVG(B8,$B8:$D8,1)</f>
        <v>#NAME?</v>
      </c>
      <c r="H8" s="7" t="e">
        <f ca="1">RANK_AVG(C8,$B8:$D8,1)</f>
        <v>#NAME?</v>
      </c>
      <c r="I8" s="108" t="e">
        <f ca="1">RANK_AVG(D8,$B8:$D8,1)</f>
        <v>#NAME?</v>
      </c>
      <c r="K8" s="49" t="s">
        <v>57</v>
      </c>
      <c r="L8" s="78" t="e">
        <f ca="1">CHIDIST(L6,L7)</f>
        <v>#NAME?</v>
      </c>
      <c r="N8" s="16">
        <v>3</v>
      </c>
      <c r="O8" s="16">
        <v>3</v>
      </c>
      <c r="P8" s="16">
        <v>6</v>
      </c>
      <c r="Q8" s="16">
        <v>2</v>
      </c>
      <c r="R8" s="16">
        <v>1</v>
      </c>
      <c r="W8" t="s">
        <v>37</v>
      </c>
      <c r="X8" s="173">
        <f>COUNT(B4:D4)-1</f>
        <v>2</v>
      </c>
    </row>
    <row r="9" spans="1:24" x14ac:dyDescent="0.25">
      <c r="A9" s="152">
        <f t="shared" si="0"/>
        <v>6</v>
      </c>
      <c r="B9" s="115">
        <v>4</v>
      </c>
      <c r="C9" s="153">
        <v>7</v>
      </c>
      <c r="D9" s="72">
        <v>5</v>
      </c>
      <c r="F9" s="152">
        <f t="shared" si="1"/>
        <v>6</v>
      </c>
      <c r="G9" s="107" t="e">
        <f ca="1">RANK_AVG(B9,$B9:$D9,1)</f>
        <v>#NAME?</v>
      </c>
      <c r="H9" s="7" t="e">
        <f ca="1">RANK_AVG(C9,$B9:$D9,1)</f>
        <v>#NAME?</v>
      </c>
      <c r="I9" s="108" t="e">
        <f ca="1">RANK_AVG(D9,$B9:$D9,1)</f>
        <v>#NAME?</v>
      </c>
      <c r="K9" s="49" t="s">
        <v>28</v>
      </c>
      <c r="L9" s="78">
        <v>0.05</v>
      </c>
      <c r="N9" s="16">
        <v>4</v>
      </c>
      <c r="O9" s="16">
        <v>3</v>
      </c>
      <c r="P9" s="16">
        <v>6</v>
      </c>
      <c r="Q9" s="16">
        <v>2</v>
      </c>
      <c r="R9" s="16">
        <v>1</v>
      </c>
      <c r="W9" t="s">
        <v>43</v>
      </c>
      <c r="X9" s="173" t="e">
        <f ca="1">CHIDIST(X7,X8)</f>
        <v>#NAME?</v>
      </c>
    </row>
    <row r="10" spans="1:24" x14ac:dyDescent="0.25">
      <c r="A10" s="152">
        <f t="shared" si="0"/>
        <v>7</v>
      </c>
      <c r="B10" s="115">
        <v>5</v>
      </c>
      <c r="C10" s="153">
        <v>9</v>
      </c>
      <c r="D10" s="72">
        <v>3</v>
      </c>
      <c r="F10" s="152">
        <f t="shared" si="1"/>
        <v>7</v>
      </c>
      <c r="G10" s="107" t="e">
        <f ca="1">RANK_AVG(B10,$B10:$D10,1)</f>
        <v>#NAME?</v>
      </c>
      <c r="H10" s="7" t="e">
        <f ca="1">RANK_AVG(C10,$B10:$D10,1)</f>
        <v>#NAME?</v>
      </c>
      <c r="I10" s="108" t="e">
        <f ca="1">RANK_AVG(D10,$B10:$D10,1)</f>
        <v>#NAME?</v>
      </c>
      <c r="K10" s="49" t="s">
        <v>111</v>
      </c>
      <c r="L10" s="55" t="e">
        <f ca="1">IF(L8&lt;L9,"yes","no")</f>
        <v>#NAME?</v>
      </c>
      <c r="N10" s="16">
        <v>5</v>
      </c>
      <c r="O10" s="16">
        <v>3</v>
      </c>
      <c r="P10" s="16">
        <v>6</v>
      </c>
      <c r="Q10" s="16">
        <v>2</v>
      </c>
      <c r="R10" s="16">
        <v>0.75</v>
      </c>
      <c r="W10" t="s">
        <v>111</v>
      </c>
      <c r="X10" s="181" t="e">
        <f ca="1">IF(X9&lt;X5,"yes","no")</f>
        <v>#NAME?</v>
      </c>
    </row>
    <row r="11" spans="1:24" x14ac:dyDescent="0.25">
      <c r="A11" s="152">
        <f t="shared" si="0"/>
        <v>8</v>
      </c>
      <c r="B11" s="115">
        <v>6</v>
      </c>
      <c r="C11" s="153">
        <v>6</v>
      </c>
      <c r="D11" s="72">
        <v>7</v>
      </c>
      <c r="F11" s="152">
        <f t="shared" si="1"/>
        <v>8</v>
      </c>
      <c r="G11" s="107" t="e">
        <f ca="1">RANK_AVG(B11,$B11:$D11,1)</f>
        <v>#NAME?</v>
      </c>
      <c r="H11" s="7" t="e">
        <f ca="1">RANK_AVG(C11,$B11:$D11,1)</f>
        <v>#NAME?</v>
      </c>
      <c r="I11" s="108" t="e">
        <f ca="1">RANK_AVG(D11,$B11:$D11,1)</f>
        <v>#NAME?</v>
      </c>
      <c r="N11" s="16">
        <v>6</v>
      </c>
      <c r="O11" s="16">
        <v>3</v>
      </c>
      <c r="P11" s="16">
        <v>6</v>
      </c>
      <c r="Q11" s="16">
        <v>2</v>
      </c>
      <c r="R11" s="16">
        <v>1</v>
      </c>
    </row>
    <row r="12" spans="1:24" x14ac:dyDescent="0.25">
      <c r="A12" s="152">
        <f t="shared" si="0"/>
        <v>9</v>
      </c>
      <c r="B12" s="115">
        <v>5</v>
      </c>
      <c r="C12" s="153">
        <v>4</v>
      </c>
      <c r="D12" s="72">
        <v>6</v>
      </c>
      <c r="F12" s="152">
        <f t="shared" si="1"/>
        <v>9</v>
      </c>
      <c r="G12" s="107" t="e">
        <f ca="1">RANK_AVG(B12,$B12:$D12,1)</f>
        <v>#NAME?</v>
      </c>
      <c r="H12" s="7" t="e">
        <f ca="1">RANK_AVG(C12,$B12:$D12,1)</f>
        <v>#NAME?</v>
      </c>
      <c r="I12" s="108" t="e">
        <f ca="1">RANK_AVG(D12,$B12:$D12,1)</f>
        <v>#NAME?</v>
      </c>
      <c r="N12" s="16">
        <v>7</v>
      </c>
      <c r="O12" s="16">
        <v>3</v>
      </c>
      <c r="P12" s="16">
        <v>6</v>
      </c>
      <c r="Q12" s="16">
        <v>2</v>
      </c>
      <c r="R12" s="16">
        <v>1</v>
      </c>
    </row>
    <row r="13" spans="1:24" x14ac:dyDescent="0.25">
      <c r="A13" s="152">
        <f t="shared" si="0"/>
        <v>10</v>
      </c>
      <c r="B13" s="115">
        <v>10</v>
      </c>
      <c r="C13" s="153">
        <v>6</v>
      </c>
      <c r="D13" s="72">
        <v>4</v>
      </c>
      <c r="F13" s="152">
        <f t="shared" si="1"/>
        <v>10</v>
      </c>
      <c r="G13" s="107" t="e">
        <f ca="1">RANK_AVG(B13,$B13:$D13,1)</f>
        <v>#NAME?</v>
      </c>
      <c r="H13" s="7" t="e">
        <f ca="1">RANK_AVG(C13,$B13:$D13,1)</f>
        <v>#NAME?</v>
      </c>
      <c r="I13" s="108" t="e">
        <f ca="1">RANK_AVG(D13,$B13:$D13,1)</f>
        <v>#NAME?</v>
      </c>
      <c r="N13" s="16">
        <v>8</v>
      </c>
      <c r="O13" s="16">
        <v>3</v>
      </c>
      <c r="P13" s="16">
        <v>6</v>
      </c>
      <c r="Q13" s="16">
        <v>2</v>
      </c>
      <c r="R13" s="16">
        <v>0.75</v>
      </c>
    </row>
    <row r="14" spans="1:24" x14ac:dyDescent="0.25">
      <c r="A14" s="152">
        <f t="shared" si="0"/>
        <v>11</v>
      </c>
      <c r="B14" s="115">
        <v>4</v>
      </c>
      <c r="C14" s="153">
        <v>7</v>
      </c>
      <c r="D14" s="72">
        <v>4</v>
      </c>
      <c r="F14" s="152">
        <f t="shared" si="1"/>
        <v>11</v>
      </c>
      <c r="G14" s="107" t="e">
        <f ca="1">RANK_AVG(B14,$B14:$D14,1)</f>
        <v>#NAME?</v>
      </c>
      <c r="H14" s="7" t="e">
        <f ca="1">RANK_AVG(C14,$B14:$D14,1)</f>
        <v>#NAME?</v>
      </c>
      <c r="I14" s="108" t="e">
        <f ca="1">RANK_AVG(D14,$B14:$D14,1)</f>
        <v>#NAME?</v>
      </c>
      <c r="N14" s="16">
        <v>9</v>
      </c>
      <c r="O14" s="16">
        <v>3</v>
      </c>
      <c r="P14" s="16">
        <v>6</v>
      </c>
      <c r="Q14" s="16">
        <v>2</v>
      </c>
      <c r="R14" s="16">
        <v>1</v>
      </c>
    </row>
    <row r="15" spans="1:24" x14ac:dyDescent="0.25">
      <c r="A15" s="152">
        <f t="shared" si="0"/>
        <v>12</v>
      </c>
      <c r="B15" s="27">
        <v>7</v>
      </c>
      <c r="C15" s="155">
        <v>3</v>
      </c>
      <c r="D15" s="28">
        <v>3</v>
      </c>
      <c r="F15" s="152">
        <f t="shared" si="1"/>
        <v>12</v>
      </c>
      <c r="G15" s="9" t="e">
        <f ca="1">RANK_AVG(B15,$B15:$D15,1)</f>
        <v>#NAME?</v>
      </c>
      <c r="H15" s="10" t="e">
        <f ca="1">RANK_AVG(C15,$B15:$D15,1)</f>
        <v>#NAME?</v>
      </c>
      <c r="I15" s="11" t="e">
        <f ca="1">RANK_AVG(D15,$B15:$D15,1)</f>
        <v>#NAME?</v>
      </c>
      <c r="N15" s="16">
        <v>10</v>
      </c>
      <c r="O15" s="16">
        <v>3</v>
      </c>
      <c r="P15" s="16">
        <v>6</v>
      </c>
      <c r="Q15" s="16">
        <v>2</v>
      </c>
      <c r="R15" s="16">
        <v>1</v>
      </c>
    </row>
    <row r="16" spans="1:24" x14ac:dyDescent="0.25">
      <c r="F16" s="152" t="s">
        <v>135</v>
      </c>
      <c r="G16" s="159" t="e">
        <f ca="1">SUM(G4:G15)</f>
        <v>#NAME?</v>
      </c>
      <c r="H16" s="160" t="e">
        <f ca="1">SUM(H4:H15)</f>
        <v>#NAME?</v>
      </c>
      <c r="I16" s="161" t="e">
        <f ca="1">SUM(I4:I15)</f>
        <v>#NAME?</v>
      </c>
      <c r="N16" s="16">
        <v>11</v>
      </c>
      <c r="O16" s="16">
        <v>3</v>
      </c>
      <c r="P16" s="16">
        <v>6</v>
      </c>
      <c r="Q16" s="16">
        <v>2</v>
      </c>
      <c r="R16" s="16">
        <v>0.75</v>
      </c>
    </row>
    <row r="17" spans="6:20" ht="17.25" x14ac:dyDescent="0.25">
      <c r="F17" s="152" t="s">
        <v>410</v>
      </c>
      <c r="G17" s="9" t="e">
        <f ca="1">G16^2</f>
        <v>#NAME?</v>
      </c>
      <c r="H17" s="10" t="e">
        <f ca="1">H16^2</f>
        <v>#NAME?</v>
      </c>
      <c r="I17" s="11" t="e">
        <f ca="1">I16^2</f>
        <v>#NAME?</v>
      </c>
      <c r="J17" s="148" t="e">
        <f ca="1">SUM(G17:I17)</f>
        <v>#NAME?</v>
      </c>
      <c r="N17" s="16">
        <v>12</v>
      </c>
      <c r="O17" s="16">
        <v>3</v>
      </c>
      <c r="P17" s="16">
        <v>6</v>
      </c>
      <c r="Q17" s="16">
        <v>2</v>
      </c>
      <c r="R17" s="16">
        <v>0.75</v>
      </c>
    </row>
    <row r="18" spans="6:20" x14ac:dyDescent="0.25">
      <c r="N18" s="16"/>
      <c r="O18" s="16"/>
      <c r="P18" s="16"/>
      <c r="Q18" s="16"/>
      <c r="R18" s="16"/>
    </row>
    <row r="19" spans="6:20" x14ac:dyDescent="0.25">
      <c r="N19" s="16" t="s">
        <v>72</v>
      </c>
      <c r="O19" s="16">
        <v>12</v>
      </c>
      <c r="P19" s="16">
        <v>27.5</v>
      </c>
      <c r="Q19" s="16">
        <v>2.2916666666666665</v>
      </c>
      <c r="R19" s="16">
        <v>0.52083333333333315</v>
      </c>
    </row>
    <row r="20" spans="6:20" x14ac:dyDescent="0.25">
      <c r="F20" t="s">
        <v>637</v>
      </c>
      <c r="N20" s="16" t="s">
        <v>422</v>
      </c>
      <c r="O20" s="16">
        <v>12</v>
      </c>
      <c r="P20" s="16">
        <v>23.5</v>
      </c>
      <c r="Q20" s="16">
        <v>1.9583333333333333</v>
      </c>
      <c r="R20" s="16">
        <v>0.70265151515151492</v>
      </c>
    </row>
    <row r="21" spans="6:20" ht="15.75" thickBot="1" x14ac:dyDescent="0.3">
      <c r="N21" s="17" t="s">
        <v>423</v>
      </c>
      <c r="O21" s="17">
        <v>12</v>
      </c>
      <c r="P21" s="17">
        <v>21</v>
      </c>
      <c r="Q21" s="17">
        <v>1.75</v>
      </c>
      <c r="R21" s="17">
        <v>0.56818181818181823</v>
      </c>
    </row>
    <row r="22" spans="6:20" x14ac:dyDescent="0.25">
      <c r="F22" t="s">
        <v>420</v>
      </c>
      <c r="G22" s="158" t="e">
        <f ca="1">FRIEDMAN(B4:D15)</f>
        <v>#NAME?</v>
      </c>
    </row>
    <row r="23" spans="6:20" x14ac:dyDescent="0.25">
      <c r="F23" t="s">
        <v>43</v>
      </c>
      <c r="G23" s="58" t="e">
        <f ca="1">FrTEST(B4:D15)</f>
        <v>#NAME?</v>
      </c>
    </row>
    <row r="24" spans="6:20" ht="15.75" thickBot="1" x14ac:dyDescent="0.3">
      <c r="N24" t="s">
        <v>84</v>
      </c>
    </row>
    <row r="25" spans="6:20" x14ac:dyDescent="0.25">
      <c r="N25" s="154" t="s">
        <v>107</v>
      </c>
      <c r="O25" s="154" t="s">
        <v>76</v>
      </c>
      <c r="P25" s="154" t="s">
        <v>37</v>
      </c>
      <c r="Q25" s="154" t="s">
        <v>78</v>
      </c>
      <c r="R25" s="154" t="s">
        <v>68</v>
      </c>
      <c r="S25" s="154" t="s">
        <v>62</v>
      </c>
      <c r="T25" s="154" t="s">
        <v>108</v>
      </c>
    </row>
    <row r="26" spans="6:20" x14ac:dyDescent="0.25">
      <c r="N26" s="16" t="s">
        <v>69</v>
      </c>
      <c r="O26" s="16">
        <v>0</v>
      </c>
      <c r="P26" s="16">
        <v>11</v>
      </c>
      <c r="Q26" s="16">
        <v>0</v>
      </c>
      <c r="R26" s="16">
        <v>0</v>
      </c>
      <c r="S26" s="16">
        <v>1</v>
      </c>
      <c r="T26" s="16">
        <v>2.2585183566229916</v>
      </c>
    </row>
    <row r="27" spans="6:20" x14ac:dyDescent="0.25">
      <c r="N27" s="16" t="s">
        <v>123</v>
      </c>
      <c r="O27" s="16">
        <v>1.7916666666666643</v>
      </c>
      <c r="P27" s="16">
        <v>2</v>
      </c>
      <c r="Q27" s="16">
        <v>0.89583333333333215</v>
      </c>
      <c r="R27" s="16">
        <v>0.99999999999999856</v>
      </c>
      <c r="S27" s="16">
        <v>0.38399523056087737</v>
      </c>
      <c r="T27" s="16">
        <v>3.4433567793667246</v>
      </c>
    </row>
    <row r="28" spans="6:20" x14ac:dyDescent="0.25">
      <c r="N28" s="16" t="s">
        <v>122</v>
      </c>
      <c r="O28" s="16">
        <v>19.708333333333336</v>
      </c>
      <c r="P28" s="16">
        <v>22</v>
      </c>
      <c r="Q28" s="16">
        <v>0.89583333333333348</v>
      </c>
      <c r="R28" s="16"/>
      <c r="S28" s="16"/>
      <c r="T28" s="16"/>
    </row>
    <row r="29" spans="6:20" x14ac:dyDescent="0.25">
      <c r="N29" s="16"/>
      <c r="O29" s="16"/>
      <c r="P29" s="16"/>
      <c r="Q29" s="16"/>
      <c r="R29" s="16"/>
      <c r="S29" s="16"/>
      <c r="T29" s="16"/>
    </row>
    <row r="30" spans="6:20" ht="15.75" thickBot="1" x14ac:dyDescent="0.3">
      <c r="N30" s="17" t="s">
        <v>1</v>
      </c>
      <c r="O30" s="17">
        <v>21.5</v>
      </c>
      <c r="P30" s="17">
        <v>35</v>
      </c>
      <c r="Q30" s="17"/>
      <c r="R30" s="17"/>
      <c r="S30" s="17"/>
      <c r="T30" s="17"/>
    </row>
    <row r="32" spans="6:20" ht="18" x14ac:dyDescent="0.35">
      <c r="N32" t="s">
        <v>424</v>
      </c>
      <c r="O32" s="158">
        <f>O27</f>
        <v>1.7916666666666643</v>
      </c>
    </row>
    <row r="33" spans="14:15" x14ac:dyDescent="0.25">
      <c r="N33" t="s">
        <v>425</v>
      </c>
      <c r="O33" s="78">
        <f>L4*(L4+1)/12</f>
        <v>1</v>
      </c>
    </row>
    <row r="34" spans="14:15" x14ac:dyDescent="0.25">
      <c r="N34" t="s">
        <v>420</v>
      </c>
      <c r="O34" s="58">
        <f>O32/O33</f>
        <v>1.7916666666666643</v>
      </c>
    </row>
  </sheetData>
  <pageMargins left="0.7" right="0.7" top="0.75" bottom="0.75" header="0.3" footer="0.3"/>
  <ignoredErrors>
    <ignoredError sqref="X8" formulaRange="1"/>
  </ignoredError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O16"/>
  <sheetViews>
    <sheetView workbookViewId="0">
      <selection activeCell="F1" sqref="F1"/>
    </sheetView>
  </sheetViews>
  <sheetFormatPr defaultRowHeight="15" x14ac:dyDescent="0.25"/>
  <cols>
    <col min="1" max="1" width="8.42578125" customWidth="1"/>
    <col min="2" max="4" width="6.85546875" customWidth="1"/>
    <col min="8" max="8" width="3.7109375" customWidth="1"/>
  </cols>
  <sheetData>
    <row r="1" spans="1:41" ht="15.75" thickBot="1" x14ac:dyDescent="0.3">
      <c r="A1" s="1" t="s">
        <v>421</v>
      </c>
      <c r="F1" t="s">
        <v>635</v>
      </c>
      <c r="L1" t="s">
        <v>832</v>
      </c>
      <c r="P1" t="s">
        <v>852</v>
      </c>
      <c r="S1" t="s">
        <v>58</v>
      </c>
      <c r="T1">
        <v>0.05</v>
      </c>
      <c r="W1" t="s">
        <v>833</v>
      </c>
      <c r="Z1" t="s">
        <v>58</v>
      </c>
      <c r="AA1">
        <v>0.05</v>
      </c>
      <c r="AB1" t="e">
        <f ca="1">AA1/(COUNT(L4:N4)*(COUNT(L4:N4)-1)/2)</f>
        <v>#DIV/0!</v>
      </c>
      <c r="AE1" t="s">
        <v>834</v>
      </c>
      <c r="AJ1" t="s">
        <v>835</v>
      </c>
    </row>
    <row r="2" spans="1:41" ht="16.5" thickTop="1" thickBot="1" x14ac:dyDescent="0.3">
      <c r="P2" s="191" t="s">
        <v>825</v>
      </c>
      <c r="Q2" s="191" t="s">
        <v>853</v>
      </c>
      <c r="R2" s="191" t="s">
        <v>830</v>
      </c>
      <c r="S2" s="191" t="s">
        <v>183</v>
      </c>
      <c r="T2" s="191" t="s">
        <v>113</v>
      </c>
      <c r="U2" s="191" t="s">
        <v>838</v>
      </c>
      <c r="W2" s="191" t="s">
        <v>825</v>
      </c>
      <c r="X2" s="191" t="s">
        <v>836</v>
      </c>
      <c r="Y2" s="191" t="s">
        <v>837</v>
      </c>
      <c r="Z2" s="191" t="s">
        <v>44</v>
      </c>
      <c r="AA2" s="191" t="s">
        <v>37</v>
      </c>
      <c r="AB2" s="191" t="s">
        <v>183</v>
      </c>
      <c r="AC2" s="191" t="s">
        <v>838</v>
      </c>
    </row>
    <row r="3" spans="1:41" ht="15.75" thickTop="1" x14ac:dyDescent="0.25">
      <c r="A3" s="455" t="s">
        <v>145</v>
      </c>
      <c r="B3" s="455" t="s">
        <v>72</v>
      </c>
      <c r="C3" s="455" t="s">
        <v>422</v>
      </c>
      <c r="D3" s="455" t="s">
        <v>423</v>
      </c>
      <c r="F3" t="s">
        <v>17</v>
      </c>
      <c r="G3" s="456">
        <v>0.05</v>
      </c>
      <c r="L3" s="431" t="str">
        <f>B3</f>
        <v>White</v>
      </c>
      <c r="M3" s="431" t="str">
        <f t="shared" ref="M3:N3" si="0">C3</f>
        <v>Red</v>
      </c>
      <c r="N3" s="431" t="str">
        <f t="shared" si="0"/>
        <v>Rose'</v>
      </c>
      <c r="P3" t="str">
        <f>B3</f>
        <v>White</v>
      </c>
      <c r="Q3" t="e">
        <f ca="1">L16</f>
        <v>#NAME?</v>
      </c>
      <c r="R3">
        <f>COUNT(B4:B15)</f>
        <v>12</v>
      </c>
      <c r="W3" t="str">
        <f>B3</f>
        <v>White</v>
      </c>
      <c r="X3" t="e">
        <f ca="1">L16</f>
        <v>#NAME?</v>
      </c>
      <c r="Y3" t="e">
        <f ca="1">X3/COUNT(B4:B15)</f>
        <v>#NAME?</v>
      </c>
      <c r="AE3" s="191" t="s">
        <v>827</v>
      </c>
      <c r="AF3" s="191" t="s">
        <v>828</v>
      </c>
      <c r="AG3" s="191" t="s">
        <v>43</v>
      </c>
      <c r="AH3" s="191" t="s">
        <v>6</v>
      </c>
      <c r="AJ3" t="s">
        <v>17</v>
      </c>
      <c r="AK3" s="453">
        <v>0.05</v>
      </c>
    </row>
    <row r="4" spans="1:41" x14ac:dyDescent="0.25">
      <c r="A4" s="455">
        <v>1</v>
      </c>
      <c r="B4" s="468">
        <v>10</v>
      </c>
      <c r="C4" s="457">
        <v>7</v>
      </c>
      <c r="D4" s="469">
        <v>8</v>
      </c>
      <c r="L4" s="351" t="e">
        <f ca="1">RANK_AVG(B4,$B4:$D4,1)</f>
        <v>#NAME?</v>
      </c>
      <c r="M4" s="351" t="e">
        <f ca="1">RANK_AVG(C4,$B4:$D4,1)</f>
        <v>#NAME?</v>
      </c>
      <c r="N4" s="351" t="e">
        <f ca="1">RANK_AVG(D4,$B4:$D4,1)</f>
        <v>#NAME?</v>
      </c>
      <c r="P4" t="str">
        <f>C3</f>
        <v>Red</v>
      </c>
      <c r="Q4" t="e">
        <f ca="1">M16</f>
        <v>#NAME?</v>
      </c>
      <c r="R4">
        <f>COUNT(C4:C15)</f>
        <v>12</v>
      </c>
      <c r="W4" t="str">
        <f>C3</f>
        <v>Red</v>
      </c>
      <c r="X4" t="e">
        <f ca="1">M16</f>
        <v>#NAME?</v>
      </c>
      <c r="Y4" t="e">
        <f ca="1">X4/COUNT(C4:C15)</f>
        <v>#NAME?</v>
      </c>
      <c r="AE4" t="str">
        <f>B3</f>
        <v>White</v>
      </c>
      <c r="AF4" t="str">
        <f>C3</f>
        <v>Red</v>
      </c>
      <c r="AG4" t="e">
        <f ca="1">SRTEST(B4:B15,C4:C15)</f>
        <v>#NAME?</v>
      </c>
      <c r="AH4">
        <f>ABS(AVERAGE(B4:B15)-AVERAGE(C4:C15))</f>
        <v>1.083333333333333</v>
      </c>
      <c r="AJ4" t="s">
        <v>839</v>
      </c>
      <c r="AK4" s="378">
        <f ca="1">COUNT(AL7:AL9)</f>
        <v>0</v>
      </c>
    </row>
    <row r="5" spans="1:41" ht="15.75" thickBot="1" x14ac:dyDescent="0.3">
      <c r="A5" s="455">
        <f>A4+1</f>
        <v>2</v>
      </c>
      <c r="B5" s="429">
        <v>8</v>
      </c>
      <c r="C5" s="308">
        <v>5</v>
      </c>
      <c r="D5" s="72">
        <v>5</v>
      </c>
      <c r="F5" t="s">
        <v>632</v>
      </c>
      <c r="G5" s="453" t="e">
        <f ca="1">FRIEDMAN(B4:D15,TRUE)</f>
        <v>#NAME?</v>
      </c>
      <c r="I5" t="s">
        <v>840</v>
      </c>
      <c r="J5" s="453" t="e">
        <f ca="1">FRIEDMAN(B4:D15,TRUE,FALSE)</f>
        <v>#NAME?</v>
      </c>
      <c r="L5" s="7" t="e">
        <f ca="1">RANK_AVG(B5,$B5:$D5,1)</f>
        <v>#NAME?</v>
      </c>
      <c r="M5" s="7" t="e">
        <f ca="1">RANK_AVG(C5,$B5:$D5,1)</f>
        <v>#NAME?</v>
      </c>
      <c r="N5" s="7" t="e">
        <f ca="1">RANK_AVG(D5,$B5:$D5,1)</f>
        <v>#NAME?</v>
      </c>
      <c r="P5" t="str">
        <f>D3</f>
        <v>Rose'</v>
      </c>
      <c r="Q5" t="e">
        <f ca="1">N16</f>
        <v>#NAME?</v>
      </c>
      <c r="R5">
        <f>COUNT(D4:D15)</f>
        <v>12</v>
      </c>
      <c r="W5" t="str">
        <f>D3</f>
        <v>Rose'</v>
      </c>
      <c r="X5" t="e">
        <f ca="1">N16</f>
        <v>#NAME?</v>
      </c>
      <c r="Y5" t="e">
        <f ca="1">X5/COUNT(D4:D15)</f>
        <v>#NAME?</v>
      </c>
      <c r="AE5" t="str">
        <f>B3</f>
        <v>White</v>
      </c>
      <c r="AF5" t="str">
        <f>D3</f>
        <v>Rose'</v>
      </c>
      <c r="AG5" t="e">
        <f ca="1">SRTEST(B4:B15,D4:D15)</f>
        <v>#NAME?</v>
      </c>
      <c r="AH5">
        <f>ABS(AVERAGE(B4:B15)-AVERAGE(D4:D15))</f>
        <v>2.333333333333333</v>
      </c>
    </row>
    <row r="6" spans="1:41" ht="15.75" thickTop="1" x14ac:dyDescent="0.25">
      <c r="A6" s="455">
        <f t="shared" ref="A6:A15" si="1">A5+1</f>
        <v>3</v>
      </c>
      <c r="B6" s="429">
        <v>7</v>
      </c>
      <c r="C6" s="308">
        <v>8</v>
      </c>
      <c r="D6" s="72">
        <v>6</v>
      </c>
      <c r="F6" t="s">
        <v>37</v>
      </c>
      <c r="G6" s="173">
        <f>COUNT(B4:D4)-1</f>
        <v>2</v>
      </c>
      <c r="I6" t="s">
        <v>841</v>
      </c>
      <c r="J6" s="173">
        <f>G6</f>
        <v>2</v>
      </c>
      <c r="L6" s="7" t="e">
        <f ca="1">RANK_AVG(B6,$B6:$D6,1)</f>
        <v>#NAME?</v>
      </c>
      <c r="M6" s="7" t="e">
        <f ca="1">RANK_AVG(C6,$B6:$D6,1)</f>
        <v>#NAME?</v>
      </c>
      <c r="N6" s="7" t="e">
        <f ca="1">RANK_AVG(D6,$B6:$D6,1)</f>
        <v>#NAME?</v>
      </c>
      <c r="P6" s="458"/>
      <c r="Q6" s="458"/>
      <c r="R6" s="458">
        <f>HARMEAN(R3:R5)</f>
        <v>12</v>
      </c>
      <c r="S6" s="458">
        <f>SQRT(R6*COUNT(R3:R5)*(COUNT(R3:R5)+1)/12)</f>
        <v>3.4641016151377544</v>
      </c>
      <c r="T6" s="458" t="e">
        <f ca="1">QCRIT(COUNT(R3:R5),R6-COUNT(R3:R5),T1,2)</f>
        <v>#NAME?</v>
      </c>
      <c r="U6" s="458" t="e">
        <f ca="1">S6*T6</f>
        <v>#NAME?</v>
      </c>
      <c r="W6" s="458"/>
      <c r="X6" s="458"/>
      <c r="Y6" s="458"/>
      <c r="Z6" s="458">
        <f ca="1">TINV(AA1,AA6)</f>
        <v>12.706204736174707</v>
      </c>
      <c r="AA6" s="458">
        <f ca="1">(COUNT(L4:L15)-1)*(COUNT(L4:N4)-1)</f>
        <v>1</v>
      </c>
      <c r="AB6" s="458" t="e">
        <f ca="1">SQRT(2*(COUNT(L4:L15)*SUMPRODUCT(L4:N15^2)-SUMPRODUCT(L16:N16^2))/AA6)/COUNT(L4:L15)</f>
        <v>#NAME?</v>
      </c>
      <c r="AC6" s="458" t="e">
        <f ca="1">Z6*AB6</f>
        <v>#NAME?</v>
      </c>
      <c r="AE6" s="353" t="str">
        <f>C3</f>
        <v>Red</v>
      </c>
      <c r="AF6" s="353" t="str">
        <f>D3</f>
        <v>Rose'</v>
      </c>
      <c r="AG6" s="353" t="e">
        <f ca="1">SRTEST(C4:C15,D4:D15)</f>
        <v>#NAME?</v>
      </c>
      <c r="AH6" s="353">
        <f>ABS(AVERAGE(C4:C15)-AVERAGE(D4:D15))</f>
        <v>1.25</v>
      </c>
      <c r="AJ6" s="191" t="s">
        <v>827</v>
      </c>
      <c r="AK6" s="191" t="s">
        <v>828</v>
      </c>
      <c r="AL6" s="191" t="s">
        <v>43</v>
      </c>
      <c r="AM6" s="191" t="s">
        <v>842</v>
      </c>
      <c r="AN6" s="191" t="s">
        <v>58</v>
      </c>
      <c r="AO6" s="191" t="s">
        <v>111</v>
      </c>
    </row>
    <row r="7" spans="1:41" ht="15.75" thickBot="1" x14ac:dyDescent="0.3">
      <c r="A7" s="455">
        <f t="shared" si="1"/>
        <v>4</v>
      </c>
      <c r="B7" s="429">
        <v>9</v>
      </c>
      <c r="C7" s="308">
        <v>6</v>
      </c>
      <c r="D7" s="72">
        <v>4</v>
      </c>
      <c r="F7" t="s">
        <v>43</v>
      </c>
      <c r="G7" s="378" t="e">
        <f ca="1">CHIDIST(G5,G6)</f>
        <v>#NAME?</v>
      </c>
      <c r="I7" t="s">
        <v>95</v>
      </c>
      <c r="J7" s="173">
        <f>J6*(COUNT(B4:B15)-1)</f>
        <v>22</v>
      </c>
      <c r="L7" s="7" t="e">
        <f ca="1">RANK_AVG(B7,$B7:$D7,1)</f>
        <v>#NAME?</v>
      </c>
      <c r="M7" s="7" t="e">
        <f ca="1">RANK_AVG(C7,$B7:$D7,1)</f>
        <v>#NAME?</v>
      </c>
      <c r="N7" s="7" t="e">
        <f ca="1">RANK_AVG(D7,$B7:$D7,1)</f>
        <v>#NAME?</v>
      </c>
      <c r="P7" t="s">
        <v>498</v>
      </c>
      <c r="W7" t="s">
        <v>42</v>
      </c>
      <c r="AJ7" t="e">
        <f t="array" aca="1" ref="AJ7:AL9" ca="1">QSORTRows(AE4:AG6,3)</f>
        <v>#NAME?</v>
      </c>
      <c r="AK7" t="e">
        <f ca="1"/>
        <v>#NAME?</v>
      </c>
      <c r="AL7" t="e">
        <f ca="1"/>
        <v>#NAME?</v>
      </c>
      <c r="AM7">
        <f ca="1">AK4</f>
        <v>0</v>
      </c>
      <c r="AN7" t="e">
        <f ca="1">AK$3/AM7</f>
        <v>#DIV/0!</v>
      </c>
      <c r="AO7" s="455" t="e">
        <f ca="1">IF(AO8="yes","yes",IF(AL7&lt;AN7,"yes","no"))</f>
        <v>#NAME?</v>
      </c>
    </row>
    <row r="8" spans="1:41" ht="15.75" thickTop="1" x14ac:dyDescent="0.25">
      <c r="A8" s="455">
        <f t="shared" si="1"/>
        <v>5</v>
      </c>
      <c r="B8" s="429">
        <v>7</v>
      </c>
      <c r="C8" s="308">
        <v>5</v>
      </c>
      <c r="D8" s="72">
        <v>4</v>
      </c>
      <c r="I8" t="s">
        <v>43</v>
      </c>
      <c r="J8" s="378" t="e">
        <f ca="1">FDIST(J5,J6,J7)</f>
        <v>#NAME?</v>
      </c>
      <c r="L8" s="7" t="e">
        <f ca="1">RANK_AVG(B8,$B8:$D8,1)</f>
        <v>#NAME?</v>
      </c>
      <c r="M8" s="7" t="e">
        <f ca="1">RANK_AVG(C8,$B8:$D8,1)</f>
        <v>#NAME?</v>
      </c>
      <c r="N8" s="7" t="e">
        <f ca="1">RANK_AVG(D8,$B8:$D8,1)</f>
        <v>#NAME?</v>
      </c>
      <c r="P8" s="191" t="s">
        <v>827</v>
      </c>
      <c r="Q8" s="191" t="s">
        <v>828</v>
      </c>
      <c r="R8" s="191" t="s">
        <v>853</v>
      </c>
      <c r="S8" s="191" t="s">
        <v>497</v>
      </c>
      <c r="T8" s="191" t="s">
        <v>43</v>
      </c>
      <c r="W8" s="191" t="s">
        <v>827</v>
      </c>
      <c r="X8" s="191" t="s">
        <v>828</v>
      </c>
      <c r="Y8" s="191" t="s">
        <v>837</v>
      </c>
      <c r="Z8" s="191" t="s">
        <v>53</v>
      </c>
      <c r="AA8" s="191" t="s">
        <v>43</v>
      </c>
      <c r="AE8" t="s">
        <v>854</v>
      </c>
      <c r="AJ8" t="e">
        <f ca="1"/>
        <v>#NAME?</v>
      </c>
      <c r="AK8" t="e">
        <f ca="1"/>
        <v>#NAME?</v>
      </c>
      <c r="AL8" t="e">
        <f ca="1"/>
        <v>#NAME?</v>
      </c>
      <c r="AM8">
        <f ca="1">AM7-1</f>
        <v>-1</v>
      </c>
      <c r="AN8">
        <f t="shared" ref="AN8:AN9" ca="1" si="2">AK$3/AM8</f>
        <v>-0.05</v>
      </c>
      <c r="AO8" s="455" t="e">
        <f t="shared" ref="AO8:AO9" ca="1" si="3">IF(AO9="yes","yes",IF(AL8&lt;AN8,"yes","no"))</f>
        <v>#NAME?</v>
      </c>
    </row>
    <row r="9" spans="1:41" ht="15.75" thickBot="1" x14ac:dyDescent="0.3">
      <c r="A9" s="455">
        <f t="shared" si="1"/>
        <v>6</v>
      </c>
      <c r="B9" s="429">
        <v>9</v>
      </c>
      <c r="C9" s="308">
        <v>7</v>
      </c>
      <c r="D9" s="72">
        <v>5</v>
      </c>
      <c r="L9" s="7" t="e">
        <f ca="1">RANK_AVG(B9,$B9:$D9,1)</f>
        <v>#NAME?</v>
      </c>
      <c r="M9" s="7" t="e">
        <f ca="1">RANK_AVG(C9,$B9:$D9,1)</f>
        <v>#NAME?</v>
      </c>
      <c r="N9" s="7" t="e">
        <f ca="1">RANK_AVG(D9,$B9:$D9,1)</f>
        <v>#NAME?</v>
      </c>
      <c r="P9" s="458" t="str">
        <f>P3</f>
        <v>White</v>
      </c>
      <c r="Q9" s="458" t="str">
        <f>P4</f>
        <v>Red</v>
      </c>
      <c r="R9" s="458" t="e">
        <f ca="1">ABS(Q3-Q4)</f>
        <v>#NAME?</v>
      </c>
      <c r="S9" s="458" t="e">
        <f ca="1">ABS(R9/S$6)</f>
        <v>#NAME?</v>
      </c>
      <c r="T9" s="458" t="e">
        <f ca="1">QDIST(S9,COUNT(R$3:R$5),R$17-COUNT(R3:R5))</f>
        <v>#NAME?</v>
      </c>
      <c r="W9" s="458" t="str">
        <f>W3</f>
        <v>White</v>
      </c>
      <c r="X9" s="458" t="str">
        <f>W4</f>
        <v>Red</v>
      </c>
      <c r="Y9" s="458" t="e">
        <f ca="1">ABS(Y3-Y4)</f>
        <v>#NAME?</v>
      </c>
      <c r="Z9" s="458" t="e">
        <f ca="1">Y9/AB$6</f>
        <v>#NAME?</v>
      </c>
      <c r="AA9" s="458" t="e">
        <f ca="1">TDIST(Z9,AA$6,2)</f>
        <v>#NAME?</v>
      </c>
      <c r="AJ9" s="353" t="e">
        <f ca="1"/>
        <v>#NAME?</v>
      </c>
      <c r="AK9" s="353" t="e">
        <f ca="1"/>
        <v>#NAME?</v>
      </c>
      <c r="AL9" s="353" t="e">
        <f ca="1"/>
        <v>#NAME?</v>
      </c>
      <c r="AM9" s="353">
        <f ca="1">AM8-1</f>
        <v>-2</v>
      </c>
      <c r="AN9" s="353">
        <f t="shared" ca="1" si="2"/>
        <v>-2.5000000000000001E-2</v>
      </c>
      <c r="AO9" s="385" t="e">
        <f t="shared" ca="1" si="3"/>
        <v>#NAME?</v>
      </c>
    </row>
    <row r="10" spans="1:41" ht="15.75" thickTop="1" x14ac:dyDescent="0.25">
      <c r="A10" s="455">
        <f t="shared" si="1"/>
        <v>7</v>
      </c>
      <c r="B10" s="429">
        <v>5</v>
      </c>
      <c r="C10" s="308">
        <v>9</v>
      </c>
      <c r="D10" s="72">
        <v>3</v>
      </c>
      <c r="L10" s="7" t="e">
        <f ca="1">RANK_AVG(B10,$B10:$D10,1)</f>
        <v>#NAME?</v>
      </c>
      <c r="M10" s="7" t="e">
        <f ca="1">RANK_AVG(C10,$B10:$D10,1)</f>
        <v>#NAME?</v>
      </c>
      <c r="N10" s="7" t="e">
        <f ca="1">RANK_AVG(D10,$B10:$D10,1)</f>
        <v>#NAME?</v>
      </c>
      <c r="P10" s="7" t="str">
        <f>P3</f>
        <v>White</v>
      </c>
      <c r="Q10" s="7" t="str">
        <f>P5</f>
        <v>Rose'</v>
      </c>
      <c r="R10" s="7" t="e">
        <f ca="1">ABS(Q3-Q5)</f>
        <v>#NAME?</v>
      </c>
      <c r="S10" s="7" t="e">
        <f t="shared" ref="S10:S11" ca="1" si="4">ABS(R10/S$6)</f>
        <v>#NAME?</v>
      </c>
      <c r="T10" s="7" t="e">
        <f ca="1">QDIST(S10,COUNT(R$3:R$5),R$17-COUNT(R4:R6))</f>
        <v>#NAME?</v>
      </c>
      <c r="W10" s="7" t="str">
        <f>W3</f>
        <v>White</v>
      </c>
      <c r="X10" s="7" t="str">
        <f>W5</f>
        <v>Rose'</v>
      </c>
      <c r="Y10" s="7" t="e">
        <f ca="1">ABS(Y3-Y5)</f>
        <v>#NAME?</v>
      </c>
      <c r="Z10" s="7" t="e">
        <f t="shared" ref="Z10:Z11" ca="1" si="5">Y10/AB$6</f>
        <v>#NAME?</v>
      </c>
      <c r="AA10" s="7" t="e">
        <f t="shared" ref="AA10:AA11" ca="1" si="6">TDIST(Z10,AA$6,2)</f>
        <v>#NAME?</v>
      </c>
      <c r="AE10" s="191" t="s">
        <v>827</v>
      </c>
      <c r="AF10" s="191" t="s">
        <v>828</v>
      </c>
      <c r="AG10" s="191" t="s">
        <v>43</v>
      </c>
      <c r="AH10" s="191" t="s">
        <v>6</v>
      </c>
    </row>
    <row r="11" spans="1:41" x14ac:dyDescent="0.25">
      <c r="A11" s="455">
        <f t="shared" si="1"/>
        <v>8</v>
      </c>
      <c r="B11" s="429">
        <v>6</v>
      </c>
      <c r="C11" s="308">
        <v>7</v>
      </c>
      <c r="D11" s="72">
        <v>7</v>
      </c>
      <c r="L11" s="7" t="e">
        <f ca="1">RANK_AVG(B11,$B11:$D11,1)</f>
        <v>#NAME?</v>
      </c>
      <c r="M11" s="7" t="e">
        <f ca="1">RANK_AVG(C11,$B11:$D11,1)</f>
        <v>#NAME?</v>
      </c>
      <c r="N11" s="7" t="e">
        <f ca="1">RANK_AVG(D11,$B11:$D11,1)</f>
        <v>#NAME?</v>
      </c>
      <c r="P11" s="353" t="str">
        <f>P4</f>
        <v>Red</v>
      </c>
      <c r="Q11" s="353" t="str">
        <f>P5</f>
        <v>Rose'</v>
      </c>
      <c r="R11" s="353" t="e">
        <f ca="1">ABS(Q4-Q5)</f>
        <v>#NAME?</v>
      </c>
      <c r="S11" s="353" t="e">
        <f t="shared" ca="1" si="4"/>
        <v>#NAME?</v>
      </c>
      <c r="T11" s="353" t="e">
        <f ca="1">QDIST(S11,COUNT(R$3:R$5),R$17-COUNT(R5:R7))</f>
        <v>#NAME?</v>
      </c>
      <c r="W11" s="353" t="str">
        <f>W4</f>
        <v>Red</v>
      </c>
      <c r="X11" s="353" t="str">
        <f>W5</f>
        <v>Rose'</v>
      </c>
      <c r="Y11" s="353" t="e">
        <f ca="1">ABS(Y4-Y5)</f>
        <v>#NAME?</v>
      </c>
      <c r="Z11" s="353" t="e">
        <f t="shared" ca="1" si="5"/>
        <v>#NAME?</v>
      </c>
      <c r="AA11" s="353" t="e">
        <f t="shared" ca="1" si="6"/>
        <v>#NAME?</v>
      </c>
      <c r="AE11" t="str">
        <f>B3</f>
        <v>White</v>
      </c>
      <c r="AF11" t="str">
        <f>C3</f>
        <v>Red</v>
      </c>
      <c r="AG11" t="e">
        <f ca="1">SR_EXACT(B4:B15,C4:C15)</f>
        <v>#NAME?</v>
      </c>
      <c r="AH11">
        <f>ABS(AVERAGE(B4:B15)-AVERAGE(C4:C15))</f>
        <v>1.083333333333333</v>
      </c>
    </row>
    <row r="12" spans="1:41" x14ac:dyDescent="0.25">
      <c r="A12" s="455">
        <f t="shared" si="1"/>
        <v>9</v>
      </c>
      <c r="B12" s="429">
        <v>5</v>
      </c>
      <c r="C12" s="308">
        <v>4</v>
      </c>
      <c r="D12" s="72">
        <v>6</v>
      </c>
      <c r="L12" s="7" t="e">
        <f ca="1">RANK_AVG(B12,$B12:$D12,1)</f>
        <v>#NAME?</v>
      </c>
      <c r="M12" s="7" t="e">
        <f ca="1">RANK_AVG(C12,$B12:$D12,1)</f>
        <v>#NAME?</v>
      </c>
      <c r="N12" s="7" t="e">
        <f ca="1">RANK_AVG(D12,$B12:$D12,1)</f>
        <v>#NAME?</v>
      </c>
      <c r="AE12" t="str">
        <f>B3</f>
        <v>White</v>
      </c>
      <c r="AF12" t="str">
        <f>D3</f>
        <v>Rose'</v>
      </c>
      <c r="AG12" t="e">
        <f ca="1">SR_EXACT(B4:B15,D4:D15)</f>
        <v>#NAME?</v>
      </c>
      <c r="AH12">
        <f>ABS(AVERAGE(B4:B15)-AVERAGE(D4:D15))</f>
        <v>2.333333333333333</v>
      </c>
    </row>
    <row r="13" spans="1:41" x14ac:dyDescent="0.25">
      <c r="A13" s="455">
        <f t="shared" si="1"/>
        <v>10</v>
      </c>
      <c r="B13" s="429">
        <v>10</v>
      </c>
      <c r="C13" s="308">
        <v>6</v>
      </c>
      <c r="D13" s="72">
        <v>4</v>
      </c>
      <c r="L13" s="7" t="e">
        <f ca="1">RANK_AVG(B13,$B13:$D13,1)</f>
        <v>#NAME?</v>
      </c>
      <c r="M13" s="7" t="e">
        <f ca="1">RANK_AVG(C13,$B13:$D13,1)</f>
        <v>#NAME?</v>
      </c>
      <c r="N13" s="7" t="e">
        <f ca="1">RANK_AVG(D13,$B13:$D13,1)</f>
        <v>#NAME?</v>
      </c>
      <c r="AE13" s="353" t="str">
        <f>C3</f>
        <v>Red</v>
      </c>
      <c r="AF13" s="353" t="str">
        <f>D3</f>
        <v>Rose'</v>
      </c>
      <c r="AG13" s="353" t="e">
        <f ca="1">SR_EXACT(C4:C15,D4:D15)</f>
        <v>#NAME?</v>
      </c>
      <c r="AH13" s="353">
        <f>ABS(AVERAGE(C4:C15)-AVERAGE(D4:D15))</f>
        <v>1.25</v>
      </c>
    </row>
    <row r="14" spans="1:41" x14ac:dyDescent="0.25">
      <c r="A14" s="455">
        <f t="shared" si="1"/>
        <v>11</v>
      </c>
      <c r="B14" s="429">
        <v>4</v>
      </c>
      <c r="C14" s="308">
        <v>7</v>
      </c>
      <c r="D14" s="72">
        <v>4</v>
      </c>
      <c r="L14" s="7" t="e">
        <f ca="1">RANK_AVG(B14,$B14:$D14,1)</f>
        <v>#NAME?</v>
      </c>
      <c r="M14" s="7" t="e">
        <f ca="1">RANK_AVG(C14,$B14:$D14,1)</f>
        <v>#NAME?</v>
      </c>
      <c r="N14" s="7" t="e">
        <f ca="1">RANK_AVG(D14,$B14:$D14,1)</f>
        <v>#NAME?</v>
      </c>
    </row>
    <row r="15" spans="1:41" x14ac:dyDescent="0.25">
      <c r="A15" s="455">
        <f t="shared" si="1"/>
        <v>12</v>
      </c>
      <c r="B15" s="62">
        <v>7</v>
      </c>
      <c r="C15" s="385">
        <v>3</v>
      </c>
      <c r="D15" s="54">
        <v>3</v>
      </c>
      <c r="L15" s="353" t="e">
        <f ca="1">RANK_AVG(B15,$B15:$D15,1)</f>
        <v>#NAME?</v>
      </c>
      <c r="M15" s="353" t="e">
        <f ca="1">RANK_AVG(C15,$B15:$D15,1)</f>
        <v>#NAME?</v>
      </c>
      <c r="N15" s="353" t="e">
        <f ca="1">RANK_AVG(D15,$B15:$D15,1)</f>
        <v>#NAME?</v>
      </c>
    </row>
    <row r="16" spans="1:41" x14ac:dyDescent="0.25">
      <c r="L16" t="e">
        <f ca="1">SUM(L4:L15)</f>
        <v>#NAME?</v>
      </c>
      <c r="M16" t="e">
        <f t="shared" ref="M16:N16" ca="1" si="7">SUM(M4:M15)</f>
        <v>#NAME?</v>
      </c>
      <c r="N16" t="e">
        <f t="shared" ca="1" si="7"/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2"/>
  <dimension ref="A1:T22"/>
  <sheetViews>
    <sheetView topLeftCell="N1" workbookViewId="0">
      <selection activeCell="N1" sqref="N1"/>
    </sheetView>
  </sheetViews>
  <sheetFormatPr defaultRowHeight="15" x14ac:dyDescent="0.25"/>
  <sheetData>
    <row r="1" spans="1:20" x14ac:dyDescent="0.25">
      <c r="A1" s="1" t="s">
        <v>856</v>
      </c>
      <c r="G1" t="s">
        <v>12</v>
      </c>
      <c r="N1" t="s">
        <v>859</v>
      </c>
    </row>
    <row r="3" spans="1:20" ht="15.75" thickBot="1" x14ac:dyDescent="0.3">
      <c r="B3" s="227" t="s">
        <v>576</v>
      </c>
      <c r="C3" s="227" t="s">
        <v>577</v>
      </c>
      <c r="D3" s="227" t="s">
        <v>578</v>
      </c>
      <c r="E3" s="227" t="s">
        <v>579</v>
      </c>
      <c r="G3" t="s">
        <v>502</v>
      </c>
      <c r="H3" t="str">
        <f>IF(COUNTIF(H5:K7,H5)=COUNT(H5:K7),"balanced","unbalanced")</f>
        <v>balanced</v>
      </c>
      <c r="N3" t="s">
        <v>84</v>
      </c>
      <c r="R3" s="236" t="s">
        <v>17</v>
      </c>
      <c r="S3" s="236">
        <v>0.05</v>
      </c>
    </row>
    <row r="4" spans="1:20" ht="15.75" thickTop="1" x14ac:dyDescent="0.25">
      <c r="A4" s="216" t="s">
        <v>586</v>
      </c>
      <c r="B4" s="216">
        <v>34</v>
      </c>
      <c r="C4" s="216">
        <v>46</v>
      </c>
      <c r="D4" s="216">
        <v>23</v>
      </c>
      <c r="E4" s="216">
        <v>50</v>
      </c>
      <c r="H4" s="236" t="str">
        <f>B3</f>
        <v>Office 1</v>
      </c>
      <c r="I4" s="236" t="str">
        <f>C3</f>
        <v>Office 2</v>
      </c>
      <c r="J4" s="236" t="str">
        <f>D3</f>
        <v>Office 3</v>
      </c>
      <c r="K4" s="236" t="str">
        <f>E3</f>
        <v>Office 4</v>
      </c>
      <c r="N4" s="191"/>
      <c r="O4" s="191" t="s">
        <v>76</v>
      </c>
      <c r="P4" s="191" t="s">
        <v>37</v>
      </c>
      <c r="Q4" s="191" t="s">
        <v>78</v>
      </c>
      <c r="R4" s="191" t="s">
        <v>68</v>
      </c>
      <c r="S4" s="191" t="s">
        <v>43</v>
      </c>
      <c r="T4" s="191" t="s">
        <v>111</v>
      </c>
    </row>
    <row r="5" spans="1:20" x14ac:dyDescent="0.25">
      <c r="A5" s="173"/>
      <c r="B5" s="173">
        <v>56</v>
      </c>
      <c r="C5" s="173">
        <v>19</v>
      </c>
      <c r="D5" s="173">
        <v>32</v>
      </c>
      <c r="E5" s="173">
        <v>72</v>
      </c>
      <c r="G5" t="str">
        <f>A4</f>
        <v>Conflict</v>
      </c>
      <c r="H5" s="203">
        <f>COUNT(B4:B8)</f>
        <v>5</v>
      </c>
      <c r="I5" s="187">
        <f>COUNT(C4:C8)</f>
        <v>5</v>
      </c>
      <c r="J5" s="187">
        <f>COUNT(D4:D8)</f>
        <v>5</v>
      </c>
      <c r="K5" s="204">
        <f>COUNT(E4:E8)</f>
        <v>5</v>
      </c>
      <c r="L5">
        <f>COUNT(B4:E8)</f>
        <v>20</v>
      </c>
      <c r="N5" t="s">
        <v>69</v>
      </c>
      <c r="O5">
        <f>DEVSQ(L12:L14)*L5</f>
        <v>1691.7333333333327</v>
      </c>
      <c r="P5">
        <f>COUNT(L12:L14)-1</f>
        <v>2</v>
      </c>
      <c r="Q5">
        <f>O5/P5</f>
        <v>845.86666666666633</v>
      </c>
      <c r="R5">
        <f>Q5/Q7</f>
        <v>1.2214093184443571</v>
      </c>
      <c r="S5">
        <f>FDIST(R5,P5,P7)</f>
        <v>0.35891480306310647</v>
      </c>
      <c r="T5" s="236" t="str">
        <f>IF(S5&lt;S3,"yes","no")</f>
        <v>no</v>
      </c>
    </row>
    <row r="6" spans="1:20" x14ac:dyDescent="0.25">
      <c r="A6" s="173"/>
      <c r="B6" s="173">
        <v>78</v>
      </c>
      <c r="C6" s="173">
        <v>56</v>
      </c>
      <c r="D6" s="173">
        <v>42</v>
      </c>
      <c r="E6" s="173">
        <v>30</v>
      </c>
      <c r="G6" t="str">
        <f>A9</f>
        <v>Psychol</v>
      </c>
      <c r="H6" s="76">
        <f>COUNT(B9:B13)</f>
        <v>5</v>
      </c>
      <c r="I6" s="7">
        <f>COUNT(C9:C13)</f>
        <v>5</v>
      </c>
      <c r="J6" s="7">
        <f>COUNT(D9:D13)</f>
        <v>5</v>
      </c>
      <c r="K6" s="35">
        <f>COUNT(E9:E13)</f>
        <v>5</v>
      </c>
      <c r="L6">
        <f>COUNT(B9:E13)</f>
        <v>20</v>
      </c>
      <c r="N6" t="s">
        <v>123</v>
      </c>
      <c r="O6">
        <f>DEVSQ(H15:K15)*H8</f>
        <v>609.79999999999973</v>
      </c>
      <c r="P6">
        <f>COUNT(H15:K15)-1</f>
        <v>3</v>
      </c>
      <c r="Q6">
        <f>O6/P6</f>
        <v>203.26666666666657</v>
      </c>
      <c r="R6">
        <f>Q6/Q7</f>
        <v>0.29351174432036919</v>
      </c>
      <c r="S6">
        <f>FDIST(R6,P6,P7)</f>
        <v>0.82906047560649987</v>
      </c>
      <c r="T6" s="236" t="str">
        <f>IF(S6&lt;S3,"yes","no")</f>
        <v>no</v>
      </c>
    </row>
    <row r="7" spans="1:20" x14ac:dyDescent="0.25">
      <c r="A7" s="173"/>
      <c r="B7" s="173">
        <v>40</v>
      </c>
      <c r="C7" s="173">
        <v>52</v>
      </c>
      <c r="D7" s="173">
        <v>34</v>
      </c>
      <c r="E7" s="173">
        <v>52</v>
      </c>
      <c r="G7" t="str">
        <f>A14</f>
        <v>Negot</v>
      </c>
      <c r="H7" s="182">
        <f>COUNT(B14:B18)</f>
        <v>5</v>
      </c>
      <c r="I7" s="183">
        <f>COUNT(C14:C18)</f>
        <v>5</v>
      </c>
      <c r="J7" s="183">
        <f>COUNT(D14:D18)</f>
        <v>5</v>
      </c>
      <c r="K7" s="184">
        <f>COUNT(E14:E18)</f>
        <v>5</v>
      </c>
      <c r="L7">
        <f>COUNT(B14:E18)</f>
        <v>20</v>
      </c>
      <c r="N7" t="s">
        <v>432</v>
      </c>
      <c r="O7">
        <f>O9-O5-O6-O8</f>
        <v>4155.2000000000044</v>
      </c>
      <c r="P7">
        <f>P6*P5</f>
        <v>6</v>
      </c>
      <c r="Q7">
        <f>O7/P7</f>
        <v>692.5333333333341</v>
      </c>
      <c r="R7">
        <f>Q7/Q8</f>
        <v>3.2782642998027649</v>
      </c>
      <c r="S7">
        <f>FDIST(R7,P7,P8)</f>
        <v>8.7718106561581848E-3</v>
      </c>
      <c r="T7" s="236" t="str">
        <f>IF(S7&lt;S3,"yes","no")</f>
        <v>yes</v>
      </c>
    </row>
    <row r="8" spans="1:20" x14ac:dyDescent="0.25">
      <c r="A8" s="180"/>
      <c r="B8" s="180">
        <v>61</v>
      </c>
      <c r="C8" s="180">
        <v>42</v>
      </c>
      <c r="D8" s="180">
        <v>28</v>
      </c>
      <c r="E8" s="180">
        <v>43</v>
      </c>
      <c r="H8">
        <f>COUNT(B4:B18)</f>
        <v>15</v>
      </c>
      <c r="I8">
        <f>COUNT(C4:C18)</f>
        <v>15</v>
      </c>
      <c r="J8">
        <f>COUNT(D4:D18)</f>
        <v>15</v>
      </c>
      <c r="K8">
        <f>COUNT(E4:E18)</f>
        <v>15</v>
      </c>
      <c r="L8">
        <f>COUNT(B4:E18)</f>
        <v>60</v>
      </c>
      <c r="N8" t="s">
        <v>124</v>
      </c>
      <c r="O8">
        <f>SUM(H19:K21)*(H5-1)</f>
        <v>10140</v>
      </c>
      <c r="P8">
        <f>P9-P5-P6-P7</f>
        <v>48</v>
      </c>
      <c r="Q8">
        <f>O8/P8</f>
        <v>211.25</v>
      </c>
    </row>
    <row r="9" spans="1:20" x14ac:dyDescent="0.25">
      <c r="A9" s="216" t="s">
        <v>587</v>
      </c>
      <c r="B9" s="216">
        <v>45</v>
      </c>
      <c r="C9" s="216">
        <v>23</v>
      </c>
      <c r="D9" s="216">
        <v>75</v>
      </c>
      <c r="E9" s="216">
        <v>73</v>
      </c>
      <c r="N9" s="185" t="s">
        <v>1</v>
      </c>
      <c r="O9" s="185">
        <f>Q9*P9</f>
        <v>16596.733333333337</v>
      </c>
      <c r="P9" s="185">
        <f>L8-1</f>
        <v>59</v>
      </c>
      <c r="Q9" s="185">
        <f>L22</f>
        <v>281.3005649717515</v>
      </c>
      <c r="R9" s="185"/>
      <c r="S9" s="185"/>
      <c r="T9" s="185"/>
    </row>
    <row r="10" spans="1:20" x14ac:dyDescent="0.25">
      <c r="A10" s="173"/>
      <c r="B10" s="173">
        <v>40</v>
      </c>
      <c r="C10" s="173">
        <v>56</v>
      </c>
      <c r="D10" s="173">
        <v>57</v>
      </c>
      <c r="E10" s="173">
        <v>68</v>
      </c>
      <c r="G10" t="s">
        <v>125</v>
      </c>
    </row>
    <row r="11" spans="1:20" x14ac:dyDescent="0.25">
      <c r="A11" s="173"/>
      <c r="B11" s="173">
        <v>65</v>
      </c>
      <c r="C11" s="173">
        <v>61</v>
      </c>
      <c r="D11" s="173">
        <v>63</v>
      </c>
      <c r="E11" s="173">
        <v>71</v>
      </c>
      <c r="H11" s="236" t="str">
        <f>B3</f>
        <v>Office 1</v>
      </c>
      <c r="I11" s="236" t="str">
        <f>C3</f>
        <v>Office 2</v>
      </c>
      <c r="J11" s="236" t="str">
        <f>D3</f>
        <v>Office 3</v>
      </c>
      <c r="K11" s="236" t="str">
        <f>E3</f>
        <v>Office 4</v>
      </c>
    </row>
    <row r="12" spans="1:20" x14ac:dyDescent="0.25">
      <c r="A12" s="173"/>
      <c r="B12" s="173">
        <v>52</v>
      </c>
      <c r="C12" s="173">
        <v>34</v>
      </c>
      <c r="D12" s="173">
        <v>25</v>
      </c>
      <c r="E12" s="173">
        <v>59</v>
      </c>
      <c r="G12" t="str">
        <f>A4</f>
        <v>Conflict</v>
      </c>
      <c r="H12" s="203">
        <f>AVERAGE(B4:B8)</f>
        <v>53.8</v>
      </c>
      <c r="I12" s="187">
        <f>AVERAGE(C4:C8)</f>
        <v>43</v>
      </c>
      <c r="J12" s="187">
        <f>AVERAGE(D4:D8)</f>
        <v>31.8</v>
      </c>
      <c r="K12" s="204">
        <f>AVERAGE(E4:E8)</f>
        <v>49.4</v>
      </c>
      <c r="L12">
        <f>AVERAGE(B4:E8)</f>
        <v>44.5</v>
      </c>
    </row>
    <row r="13" spans="1:20" x14ac:dyDescent="0.25">
      <c r="A13" s="180"/>
      <c r="B13" s="180">
        <v>23</v>
      </c>
      <c r="C13" s="180">
        <v>28</v>
      </c>
      <c r="D13" s="180">
        <v>60</v>
      </c>
      <c r="E13" s="180">
        <v>80</v>
      </c>
      <c r="G13" t="str">
        <f>A9</f>
        <v>Psychol</v>
      </c>
      <c r="H13" s="76">
        <f>AVERAGE(B9:B13)</f>
        <v>45</v>
      </c>
      <c r="I13" s="7">
        <f>AVERAGE(C9:C13)</f>
        <v>40.4</v>
      </c>
      <c r="J13" s="7">
        <f>AVERAGE(D9:D13)</f>
        <v>56</v>
      </c>
      <c r="K13" s="35">
        <f>AVERAGE(E9:E13)</f>
        <v>70.2</v>
      </c>
      <c r="L13">
        <f>AVERAGE(B9:E13)</f>
        <v>52.9</v>
      </c>
    </row>
    <row r="14" spans="1:20" x14ac:dyDescent="0.25">
      <c r="A14" s="216" t="s">
        <v>585</v>
      </c>
      <c r="B14" s="216">
        <v>80</v>
      </c>
      <c r="C14" s="216">
        <v>75</v>
      </c>
      <c r="D14" s="216">
        <v>55</v>
      </c>
      <c r="E14" s="216">
        <v>53</v>
      </c>
      <c r="G14" t="str">
        <f>A14</f>
        <v>Negot</v>
      </c>
      <c r="H14" s="182">
        <f>AVERAGE(B14:B18)</f>
        <v>60.2</v>
      </c>
      <c r="I14" s="183">
        <f>AVERAGE(C14:C18)</f>
        <v>57.6</v>
      </c>
      <c r="J14" s="183">
        <f>AVERAGE(D14:D18)</f>
        <v>64</v>
      </c>
      <c r="K14" s="184">
        <f>AVERAGE(E14:E18)</f>
        <v>47.4</v>
      </c>
      <c r="L14">
        <f>AVERAGE(B14:E18)</f>
        <v>57.3</v>
      </c>
    </row>
    <row r="15" spans="1:20" x14ac:dyDescent="0.25">
      <c r="A15" s="173"/>
      <c r="B15" s="173">
        <v>39</v>
      </c>
      <c r="C15" s="173">
        <v>57</v>
      </c>
      <c r="D15" s="173">
        <v>73</v>
      </c>
      <c r="E15" s="173">
        <v>51</v>
      </c>
      <c r="H15">
        <f>AVERAGE(B4:B18)</f>
        <v>53</v>
      </c>
      <c r="I15">
        <f>AVERAGE(C4:C18)</f>
        <v>47</v>
      </c>
      <c r="J15">
        <f>AVERAGE(D4:D18)</f>
        <v>50.6</v>
      </c>
      <c r="K15">
        <f>AVERAGE(E4:E18)</f>
        <v>55.666666666666664</v>
      </c>
      <c r="L15">
        <f>AVERAGE(B4:E18)</f>
        <v>51.56666666666667</v>
      </c>
    </row>
    <row r="16" spans="1:20" x14ac:dyDescent="0.25">
      <c r="A16" s="173"/>
      <c r="B16" s="173">
        <v>78</v>
      </c>
      <c r="C16" s="173">
        <v>63</v>
      </c>
      <c r="D16" s="173">
        <v>69</v>
      </c>
      <c r="E16" s="173">
        <v>47</v>
      </c>
    </row>
    <row r="17" spans="1:12" x14ac:dyDescent="0.25">
      <c r="A17" s="173"/>
      <c r="B17" s="173">
        <v>45</v>
      </c>
      <c r="C17" s="173">
        <v>25</v>
      </c>
      <c r="D17" s="173">
        <v>64</v>
      </c>
      <c r="E17" s="173">
        <v>41</v>
      </c>
      <c r="G17" t="s">
        <v>503</v>
      </c>
    </row>
    <row r="18" spans="1:12" x14ac:dyDescent="0.25">
      <c r="A18" s="180"/>
      <c r="B18" s="180">
        <v>59</v>
      </c>
      <c r="C18" s="180">
        <v>68</v>
      </c>
      <c r="D18" s="180">
        <v>59</v>
      </c>
      <c r="E18" s="180">
        <v>45</v>
      </c>
      <c r="H18" s="236" t="str">
        <f>B3</f>
        <v>Office 1</v>
      </c>
      <c r="I18" s="236" t="str">
        <f>C3</f>
        <v>Office 2</v>
      </c>
      <c r="J18" s="236" t="str">
        <f>D3</f>
        <v>Office 3</v>
      </c>
      <c r="K18" s="236" t="str">
        <f>E3</f>
        <v>Office 4</v>
      </c>
    </row>
    <row r="19" spans="1:12" x14ac:dyDescent="0.25">
      <c r="G19" t="str">
        <f>A4</f>
        <v>Conflict</v>
      </c>
      <c r="H19" s="203">
        <f>VAR(B4:B8)</f>
        <v>306.19999999999982</v>
      </c>
      <c r="I19" s="187">
        <f>VAR(C4:C8)</f>
        <v>209</v>
      </c>
      <c r="J19" s="187">
        <f>VAR(D4:D8)</f>
        <v>50.200000000000045</v>
      </c>
      <c r="K19" s="204">
        <f>VAR(E4:E8)</f>
        <v>233.80000000000018</v>
      </c>
      <c r="L19">
        <f>VAR(B4:E8)</f>
        <v>240.36842105263159</v>
      </c>
    </row>
    <row r="20" spans="1:12" x14ac:dyDescent="0.25">
      <c r="G20" t="str">
        <f>A9</f>
        <v>Psychol</v>
      </c>
      <c r="H20" s="76">
        <f>VAR(B9:B13)</f>
        <v>239.5</v>
      </c>
      <c r="I20" s="7">
        <f>VAR(C9:C13)</f>
        <v>291.29999999999995</v>
      </c>
      <c r="J20" s="7">
        <f>VAR(D9:D13)</f>
        <v>347</v>
      </c>
      <c r="K20" s="35">
        <f>VAR(E9:E13)</f>
        <v>58.7</v>
      </c>
      <c r="L20">
        <f>VAR(B9:E13)</f>
        <v>335.98947368421068</v>
      </c>
    </row>
    <row r="21" spans="1:12" x14ac:dyDescent="0.25">
      <c r="G21" t="str">
        <f>A14</f>
        <v>Negot</v>
      </c>
      <c r="H21" s="182">
        <f>VAR(B14:B18)</f>
        <v>347.69999999999982</v>
      </c>
      <c r="I21" s="183">
        <f>VAR(C14:C18)</f>
        <v>375.80000000000018</v>
      </c>
      <c r="J21" s="183">
        <f>VAR(D14:D18)</f>
        <v>53</v>
      </c>
      <c r="K21" s="184">
        <f>VAR(E14:E18)</f>
        <v>22.799999999999997</v>
      </c>
      <c r="L21">
        <f>VAR(B14:E18)</f>
        <v>208.11578947368406</v>
      </c>
    </row>
    <row r="22" spans="1:12" x14ac:dyDescent="0.25">
      <c r="H22">
        <f>VAR(B4:B18)</f>
        <v>296.85714285714283</v>
      </c>
      <c r="I22">
        <f>VAR(C4:C18)</f>
        <v>311.71428571428572</v>
      </c>
      <c r="J22">
        <f>VAR(D4:D18)</f>
        <v>329.39999999999992</v>
      </c>
      <c r="K22">
        <f>VAR(E4:E18)</f>
        <v>203.95238095238113</v>
      </c>
      <c r="L22">
        <f>VAR(B4:E18)</f>
        <v>281.3005649717515</v>
      </c>
    </row>
  </sheetData>
  <pageMargins left="0.7" right="0.7" top="0.75" bottom="0.75" header="0.3" footer="0.3"/>
  <pageSetup paperSize="9" orientation="portrait" verticalDpi="0" r:id="rId1"/>
  <ignoredErrors>
    <ignoredError sqref="H5:K7 H12:K14 H19:K21" formulaRange="1"/>
  </ignoredError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3"/>
  <dimension ref="A1:S94"/>
  <sheetViews>
    <sheetView workbookViewId="0"/>
  </sheetViews>
  <sheetFormatPr defaultRowHeight="15" x14ac:dyDescent="0.25"/>
  <cols>
    <col min="9" max="9" width="3.5703125" customWidth="1"/>
    <col min="10" max="10" width="57.42578125" customWidth="1"/>
  </cols>
  <sheetData>
    <row r="1" spans="1:19" x14ac:dyDescent="0.25">
      <c r="A1" s="1" t="s">
        <v>626</v>
      </c>
      <c r="L1" t="s">
        <v>631</v>
      </c>
      <c r="Q1" t="s">
        <v>550</v>
      </c>
    </row>
    <row r="3" spans="1:19" x14ac:dyDescent="0.25">
      <c r="A3" s="243" t="s">
        <v>35</v>
      </c>
      <c r="B3" s="243" t="s">
        <v>628</v>
      </c>
      <c r="C3" s="243" t="s">
        <v>627</v>
      </c>
      <c r="D3" s="243" t="s">
        <v>629</v>
      </c>
      <c r="L3" s="243" t="s">
        <v>628</v>
      </c>
      <c r="M3" s="243" t="s">
        <v>627</v>
      </c>
      <c r="N3" s="243" t="s">
        <v>629</v>
      </c>
      <c r="O3" s="243"/>
      <c r="Q3" t="s">
        <v>626</v>
      </c>
    </row>
    <row r="4" spans="1:19" x14ac:dyDescent="0.25">
      <c r="A4" s="243">
        <v>1</v>
      </c>
      <c r="B4" s="242">
        <v>1</v>
      </c>
      <c r="C4" s="202">
        <v>1</v>
      </c>
      <c r="D4" s="241">
        <v>1</v>
      </c>
      <c r="E4" s="243">
        <f>SUM(B4:D4)</f>
        <v>3</v>
      </c>
      <c r="G4" t="s">
        <v>34</v>
      </c>
      <c r="H4" s="206">
        <f>COUNTA(B3:D3)</f>
        <v>3</v>
      </c>
      <c r="J4" t="e">
        <f ca="1">FTEXT(H4)</f>
        <v>#NAME?</v>
      </c>
      <c r="L4" s="246">
        <f>B24/$H5</f>
        <v>0.3</v>
      </c>
      <c r="M4" s="247">
        <f>C24/$H5</f>
        <v>0.65</v>
      </c>
      <c r="N4" s="248">
        <f>D24/$H5</f>
        <v>0.7</v>
      </c>
      <c r="O4" s="249"/>
    </row>
    <row r="5" spans="1:19" x14ac:dyDescent="0.25">
      <c r="A5" s="243">
        <f>A4+1</f>
        <v>2</v>
      </c>
      <c r="B5" s="115">
        <v>0</v>
      </c>
      <c r="C5" s="244">
        <v>1</v>
      </c>
      <c r="D5" s="72">
        <v>1</v>
      </c>
      <c r="E5" s="243">
        <f t="shared" ref="E5:E23" si="0">SUM(B5:D5)</f>
        <v>2</v>
      </c>
      <c r="G5" t="s">
        <v>16</v>
      </c>
      <c r="H5" s="78">
        <f>COUNT(B4:B23)</f>
        <v>20</v>
      </c>
      <c r="J5" t="e">
        <f ca="1">FTEXT(H5)</f>
        <v>#NAME?</v>
      </c>
      <c r="Q5" t="s">
        <v>17</v>
      </c>
      <c r="R5" s="250">
        <v>0.05</v>
      </c>
    </row>
    <row r="6" spans="1:19" x14ac:dyDescent="0.25">
      <c r="A6" s="243">
        <f t="shared" ref="A6:A23" si="1">A5+1</f>
        <v>3</v>
      </c>
      <c r="B6" s="115">
        <v>0</v>
      </c>
      <c r="C6" s="244">
        <v>0</v>
      </c>
      <c r="D6" s="72">
        <v>1</v>
      </c>
      <c r="E6" s="243">
        <f t="shared" si="0"/>
        <v>1</v>
      </c>
      <c r="G6" t="s">
        <v>37</v>
      </c>
      <c r="H6" s="78">
        <f>H4-1</f>
        <v>2</v>
      </c>
      <c r="J6" t="e">
        <f ca="1">FTEXT(H6)</f>
        <v>#NAME?</v>
      </c>
    </row>
    <row r="7" spans="1:19" x14ac:dyDescent="0.25">
      <c r="A7" s="243">
        <f t="shared" si="1"/>
        <v>4</v>
      </c>
      <c r="B7" s="115">
        <v>0</v>
      </c>
      <c r="C7" s="244">
        <v>1</v>
      </c>
      <c r="D7" s="72">
        <v>0</v>
      </c>
      <c r="E7" s="243">
        <f t="shared" si="0"/>
        <v>1</v>
      </c>
      <c r="G7" t="s">
        <v>426</v>
      </c>
      <c r="H7" s="78">
        <f>H6*(H4*SUMSQ(B24:D24)-E24^2)/(H4*E24-SUMSQ(E4:E23))</f>
        <v>6.7058823529411766</v>
      </c>
      <c r="J7" t="e">
        <f ca="1">FTEXT(H7)</f>
        <v>#NAME?</v>
      </c>
      <c r="Q7" t="s">
        <v>632</v>
      </c>
      <c r="R7" s="251" t="e">
        <f ca="1">COCHRAN(B4:D23,TRUE)</f>
        <v>#NAME?</v>
      </c>
    </row>
    <row r="8" spans="1:19" x14ac:dyDescent="0.25">
      <c r="A8" s="243">
        <f t="shared" si="1"/>
        <v>5</v>
      </c>
      <c r="B8" s="115">
        <v>1</v>
      </c>
      <c r="C8" s="244">
        <v>0</v>
      </c>
      <c r="D8" s="72">
        <v>0</v>
      </c>
      <c r="E8" s="243">
        <f t="shared" si="0"/>
        <v>1</v>
      </c>
      <c r="G8" t="s">
        <v>58</v>
      </c>
      <c r="H8" s="78">
        <v>0.05</v>
      </c>
      <c r="Q8" t="s">
        <v>37</v>
      </c>
      <c r="R8" s="173">
        <f>COUNT(B4:D4)-1</f>
        <v>2</v>
      </c>
    </row>
    <row r="9" spans="1:19" x14ac:dyDescent="0.25">
      <c r="A9" s="243">
        <f t="shared" si="1"/>
        <v>6</v>
      </c>
      <c r="B9" s="115">
        <v>0</v>
      </c>
      <c r="C9" s="244">
        <v>1</v>
      </c>
      <c r="D9" s="72">
        <v>1</v>
      </c>
      <c r="E9" s="243">
        <f t="shared" si="0"/>
        <v>2</v>
      </c>
      <c r="G9" t="s">
        <v>43</v>
      </c>
      <c r="H9" s="78">
        <f>CHIDIST(H7,H6)</f>
        <v>3.4981316424350116E-2</v>
      </c>
      <c r="J9" t="e">
        <f ca="1">FTEXT(H9)</f>
        <v>#NAME?</v>
      </c>
      <c r="Q9" t="s">
        <v>43</v>
      </c>
      <c r="R9" s="173" t="e">
        <f ca="1">CHIDIST(R7,R8)</f>
        <v>#NAME?</v>
      </c>
    </row>
    <row r="10" spans="1:19" x14ac:dyDescent="0.25">
      <c r="A10" s="243">
        <f t="shared" si="1"/>
        <v>7</v>
      </c>
      <c r="B10" s="115">
        <v>0</v>
      </c>
      <c r="C10" s="244">
        <v>1</v>
      </c>
      <c r="D10" s="72">
        <v>1</v>
      </c>
      <c r="E10" s="243">
        <f t="shared" si="0"/>
        <v>2</v>
      </c>
      <c r="G10" t="s">
        <v>630</v>
      </c>
      <c r="H10" s="78">
        <f>CHIINV(H8,H6)</f>
        <v>5.9914645471079817</v>
      </c>
      <c r="J10" t="e">
        <f ca="1">FTEXT(H10)</f>
        <v>#NAME?</v>
      </c>
      <c r="Q10" t="s">
        <v>111</v>
      </c>
      <c r="R10" s="181" t="e">
        <f ca="1">IF(R9&lt;R5,"yes","no")</f>
        <v>#NAME?</v>
      </c>
    </row>
    <row r="11" spans="1:19" x14ac:dyDescent="0.25">
      <c r="A11" s="243">
        <f t="shared" si="1"/>
        <v>8</v>
      </c>
      <c r="B11" s="115">
        <v>0</v>
      </c>
      <c r="C11" s="244">
        <v>0</v>
      </c>
      <c r="D11" s="72">
        <v>1</v>
      </c>
      <c r="E11" s="243">
        <f t="shared" si="0"/>
        <v>1</v>
      </c>
      <c r="G11" t="s">
        <v>111</v>
      </c>
      <c r="H11" s="55" t="str">
        <f>IF(H9&lt;H8,"yes","no")</f>
        <v>yes</v>
      </c>
      <c r="J11" t="e">
        <f ca="1">FTEXT(H11)</f>
        <v>#NAME?</v>
      </c>
    </row>
    <row r="12" spans="1:19" x14ac:dyDescent="0.25">
      <c r="A12" s="243">
        <f t="shared" si="1"/>
        <v>9</v>
      </c>
      <c r="B12" s="115">
        <v>0</v>
      </c>
      <c r="C12" s="244">
        <v>1</v>
      </c>
      <c r="D12" s="72">
        <v>1</v>
      </c>
      <c r="E12" s="243">
        <f t="shared" si="0"/>
        <v>2</v>
      </c>
      <c r="Q12" t="s">
        <v>633</v>
      </c>
    </row>
    <row r="13" spans="1:19" x14ac:dyDescent="0.25">
      <c r="A13" s="243">
        <f t="shared" si="1"/>
        <v>10</v>
      </c>
      <c r="B13" s="115">
        <v>0</v>
      </c>
      <c r="C13" s="244">
        <v>1</v>
      </c>
      <c r="D13" s="72">
        <v>0</v>
      </c>
      <c r="E13" s="243">
        <f t="shared" si="0"/>
        <v>1</v>
      </c>
    </row>
    <row r="14" spans="1:19" x14ac:dyDescent="0.25">
      <c r="A14" s="243">
        <f t="shared" si="1"/>
        <v>11</v>
      </c>
      <c r="B14" s="115">
        <v>1</v>
      </c>
      <c r="C14" s="244">
        <v>1</v>
      </c>
      <c r="D14" s="72">
        <v>0</v>
      </c>
      <c r="E14" s="243">
        <f t="shared" si="0"/>
        <v>2</v>
      </c>
      <c r="G14" t="s">
        <v>555</v>
      </c>
      <c r="L14" t="s">
        <v>555</v>
      </c>
      <c r="Q14" t="str">
        <f>B3</f>
        <v>Mon</v>
      </c>
      <c r="R14" t="str">
        <f>C3</f>
        <v>Wed</v>
      </c>
      <c r="S14" t="str">
        <f>D3</f>
        <v>Fri</v>
      </c>
    </row>
    <row r="15" spans="1:19" x14ac:dyDescent="0.25">
      <c r="A15" s="243">
        <f t="shared" si="1"/>
        <v>12</v>
      </c>
      <c r="B15" s="115">
        <v>1</v>
      </c>
      <c r="C15" s="244">
        <v>1</v>
      </c>
      <c r="D15" s="72">
        <v>1</v>
      </c>
      <c r="E15" s="243">
        <f t="shared" si="0"/>
        <v>3</v>
      </c>
      <c r="Q15" s="252" t="e">
        <f t="array" aca="1" ref="Q15:S15" ca="1">QRATIO(B4:D23,TRUE)</f>
        <v>#NAME?</v>
      </c>
      <c r="R15" s="253" t="e">
        <f ca="1"/>
        <v>#NAME?</v>
      </c>
      <c r="S15" s="254" t="e">
        <f ca="1"/>
        <v>#NAME?</v>
      </c>
    </row>
    <row r="16" spans="1:19" x14ac:dyDescent="0.25">
      <c r="A16" s="243">
        <f t="shared" si="1"/>
        <v>13</v>
      </c>
      <c r="B16" s="115">
        <v>0</v>
      </c>
      <c r="C16" s="244">
        <v>0</v>
      </c>
      <c r="D16" s="72">
        <v>0</v>
      </c>
      <c r="E16" s="243">
        <f t="shared" si="0"/>
        <v>0</v>
      </c>
      <c r="G16" t="s">
        <v>426</v>
      </c>
      <c r="H16" s="206" t="e">
        <f ca="1">COCHRAN(B4:D23,TRUE)</f>
        <v>#NAME?</v>
      </c>
      <c r="L16" s="156" t="e">
        <f t="array" aca="1" ref="L16:N16" ca="1">QRATIO(B4:D23,TRUE)</f>
        <v>#NAME?</v>
      </c>
      <c r="M16" s="150" t="e">
        <f ca="1"/>
        <v>#NAME?</v>
      </c>
      <c r="N16" s="157" t="e">
        <f ca="1"/>
        <v>#NAME?</v>
      </c>
      <c r="O16" s="7"/>
    </row>
    <row r="17" spans="1:10" x14ac:dyDescent="0.25">
      <c r="A17" s="243">
        <f t="shared" si="1"/>
        <v>14</v>
      </c>
      <c r="B17" s="115">
        <v>1</v>
      </c>
      <c r="C17" s="244">
        <v>0</v>
      </c>
      <c r="D17" s="72">
        <v>1</v>
      </c>
      <c r="E17" s="243">
        <f t="shared" si="0"/>
        <v>2</v>
      </c>
      <c r="G17" t="s">
        <v>43</v>
      </c>
      <c r="H17" s="58" t="e">
        <f ca="1">QTEST(B4:D23,TRUE)</f>
        <v>#NAME?</v>
      </c>
    </row>
    <row r="18" spans="1:10" x14ac:dyDescent="0.25">
      <c r="A18" s="243">
        <f t="shared" si="1"/>
        <v>15</v>
      </c>
      <c r="B18" s="115">
        <v>0</v>
      </c>
      <c r="C18" s="244">
        <v>1</v>
      </c>
      <c r="D18" s="72">
        <v>1</v>
      </c>
      <c r="E18" s="243">
        <f t="shared" si="0"/>
        <v>2</v>
      </c>
    </row>
    <row r="19" spans="1:10" x14ac:dyDescent="0.25">
      <c r="A19" s="243">
        <f t="shared" si="1"/>
        <v>16</v>
      </c>
      <c r="B19" s="115">
        <v>0</v>
      </c>
      <c r="C19" s="244">
        <v>1</v>
      </c>
      <c r="D19" s="72">
        <v>0</v>
      </c>
      <c r="E19" s="243">
        <f t="shared" si="0"/>
        <v>1</v>
      </c>
    </row>
    <row r="20" spans="1:10" x14ac:dyDescent="0.25">
      <c r="A20" s="243">
        <f t="shared" si="1"/>
        <v>17</v>
      </c>
      <c r="B20" s="115">
        <v>0</v>
      </c>
      <c r="C20" s="244">
        <v>0</v>
      </c>
      <c r="D20" s="72">
        <v>1</v>
      </c>
      <c r="E20" s="243">
        <f t="shared" si="0"/>
        <v>1</v>
      </c>
    </row>
    <row r="21" spans="1:10" x14ac:dyDescent="0.25">
      <c r="A21" s="243">
        <f t="shared" si="1"/>
        <v>18</v>
      </c>
      <c r="B21" s="115">
        <v>0</v>
      </c>
      <c r="C21" s="244">
        <v>1</v>
      </c>
      <c r="D21" s="72">
        <v>1</v>
      </c>
      <c r="E21" s="243">
        <f t="shared" si="0"/>
        <v>2</v>
      </c>
    </row>
    <row r="22" spans="1:10" x14ac:dyDescent="0.25">
      <c r="A22" s="243">
        <f t="shared" si="1"/>
        <v>19</v>
      </c>
      <c r="B22" s="115">
        <v>1</v>
      </c>
      <c r="C22" s="244">
        <v>0</v>
      </c>
      <c r="D22" s="72">
        <v>1</v>
      </c>
      <c r="E22" s="243">
        <f t="shared" si="0"/>
        <v>2</v>
      </c>
    </row>
    <row r="23" spans="1:10" x14ac:dyDescent="0.25">
      <c r="A23" s="243">
        <f t="shared" si="1"/>
        <v>20</v>
      </c>
      <c r="B23" s="62">
        <v>0</v>
      </c>
      <c r="C23" s="201">
        <v>1</v>
      </c>
      <c r="D23" s="54">
        <v>1</v>
      </c>
      <c r="E23" s="243">
        <f t="shared" si="0"/>
        <v>2</v>
      </c>
    </row>
    <row r="24" spans="1:10" x14ac:dyDescent="0.25">
      <c r="B24" s="243">
        <f>SUM(B4:B23)</f>
        <v>6</v>
      </c>
      <c r="C24" s="243">
        <f>SUM(C4:C23)</f>
        <v>13</v>
      </c>
      <c r="D24" s="243">
        <f>SUM(D4:D23)</f>
        <v>14</v>
      </c>
      <c r="E24" s="243">
        <f>SUM(B24:D24)</f>
        <v>33</v>
      </c>
    </row>
    <row r="27" spans="1:10" x14ac:dyDescent="0.25">
      <c r="A27" s="243" t="s">
        <v>35</v>
      </c>
      <c r="B27" s="243" t="s">
        <v>628</v>
      </c>
      <c r="C27" s="243" t="s">
        <v>627</v>
      </c>
    </row>
    <row r="28" spans="1:10" x14ac:dyDescent="0.25">
      <c r="A28" s="243">
        <v>1</v>
      </c>
      <c r="B28" s="242">
        <v>1</v>
      </c>
      <c r="C28" s="241">
        <v>1</v>
      </c>
      <c r="E28" s="243">
        <f>SUM(B28:D28)</f>
        <v>2</v>
      </c>
      <c r="G28" t="s">
        <v>34</v>
      </c>
      <c r="H28" s="206">
        <f>COUNTA(B27:D27)</f>
        <v>2</v>
      </c>
      <c r="J28" t="e">
        <f ca="1">FTEXT(H28)</f>
        <v>#NAME?</v>
      </c>
    </row>
    <row r="29" spans="1:10" x14ac:dyDescent="0.25">
      <c r="A29" s="243">
        <f>A28+1</f>
        <v>2</v>
      </c>
      <c r="B29" s="115">
        <v>0</v>
      </c>
      <c r="C29" s="72">
        <v>1</v>
      </c>
      <c r="E29" s="243">
        <f t="shared" ref="E29:E47" si="2">SUM(B29:D29)</f>
        <v>1</v>
      </c>
      <c r="G29" t="s">
        <v>16</v>
      </c>
      <c r="H29" s="78">
        <f>COUNT(B28:B47)</f>
        <v>20</v>
      </c>
      <c r="J29" t="e">
        <f ca="1">FTEXT(H29)</f>
        <v>#NAME?</v>
      </c>
    </row>
    <row r="30" spans="1:10" x14ac:dyDescent="0.25">
      <c r="A30" s="243">
        <f t="shared" ref="A30:A47" si="3">A29+1</f>
        <v>3</v>
      </c>
      <c r="B30" s="115">
        <v>0</v>
      </c>
      <c r="C30" s="72">
        <v>0</v>
      </c>
      <c r="E30" s="243">
        <f t="shared" si="2"/>
        <v>0</v>
      </c>
      <c r="G30" t="s">
        <v>37</v>
      </c>
      <c r="H30" s="78">
        <f>H28-1</f>
        <v>1</v>
      </c>
      <c r="J30" t="e">
        <f ca="1">FTEXT(H30)</f>
        <v>#NAME?</v>
      </c>
    </row>
    <row r="31" spans="1:10" x14ac:dyDescent="0.25">
      <c r="A31" s="243">
        <f t="shared" si="3"/>
        <v>4</v>
      </c>
      <c r="B31" s="115">
        <v>0</v>
      </c>
      <c r="C31" s="72">
        <v>1</v>
      </c>
      <c r="E31" s="243">
        <f t="shared" si="2"/>
        <v>1</v>
      </c>
      <c r="G31" t="s">
        <v>426</v>
      </c>
      <c r="H31" s="78">
        <f>H30*(H28*SUMSQ(B48:D48)-E48^2)/(H28*E48-SUMSQ(E28:E47))</f>
        <v>3.7692307692307692</v>
      </c>
      <c r="J31" t="e">
        <f ca="1">FTEXT(H31)</f>
        <v>#NAME?</v>
      </c>
    </row>
    <row r="32" spans="1:10" x14ac:dyDescent="0.25">
      <c r="A32" s="243">
        <f t="shared" si="3"/>
        <v>5</v>
      </c>
      <c r="B32" s="115">
        <v>1</v>
      </c>
      <c r="C32" s="72">
        <v>0</v>
      </c>
      <c r="E32" s="243">
        <f t="shared" si="2"/>
        <v>1</v>
      </c>
      <c r="G32" t="s">
        <v>58</v>
      </c>
      <c r="H32" s="78">
        <v>0.05</v>
      </c>
    </row>
    <row r="33" spans="1:10" x14ac:dyDescent="0.25">
      <c r="A33" s="243">
        <f t="shared" si="3"/>
        <v>6</v>
      </c>
      <c r="B33" s="115">
        <v>0</v>
      </c>
      <c r="C33" s="72">
        <v>1</v>
      </c>
      <c r="E33" s="243">
        <f t="shared" si="2"/>
        <v>1</v>
      </c>
      <c r="G33" t="s">
        <v>43</v>
      </c>
      <c r="H33" s="78">
        <f>CHIDIST(H31,H30)</f>
        <v>5.2203635341314676E-2</v>
      </c>
      <c r="J33" t="e">
        <f ca="1">FTEXT(H33)</f>
        <v>#NAME?</v>
      </c>
    </row>
    <row r="34" spans="1:10" x14ac:dyDescent="0.25">
      <c r="A34" s="243">
        <f t="shared" si="3"/>
        <v>7</v>
      </c>
      <c r="B34" s="115">
        <v>0</v>
      </c>
      <c r="C34" s="72">
        <v>1</v>
      </c>
      <c r="E34" s="243">
        <f t="shared" si="2"/>
        <v>1</v>
      </c>
      <c r="G34" t="s">
        <v>630</v>
      </c>
      <c r="H34" s="78">
        <f>CHIINV(H32,H30)</f>
        <v>3.8414588206941236</v>
      </c>
      <c r="J34" t="e">
        <f ca="1">FTEXT(H34)</f>
        <v>#NAME?</v>
      </c>
    </row>
    <row r="35" spans="1:10" x14ac:dyDescent="0.25">
      <c r="A35" s="243">
        <f t="shared" si="3"/>
        <v>8</v>
      </c>
      <c r="B35" s="115">
        <v>0</v>
      </c>
      <c r="C35" s="72">
        <v>0</v>
      </c>
      <c r="E35" s="243">
        <f t="shared" si="2"/>
        <v>0</v>
      </c>
      <c r="G35" t="s">
        <v>111</v>
      </c>
      <c r="H35" s="55" t="str">
        <f>IF(H33&lt;H32,"yes","no")</f>
        <v>no</v>
      </c>
      <c r="J35" t="e">
        <f ca="1">FTEXT(H35)</f>
        <v>#NAME?</v>
      </c>
    </row>
    <row r="36" spans="1:10" x14ac:dyDescent="0.25">
      <c r="A36" s="243">
        <f t="shared" si="3"/>
        <v>9</v>
      </c>
      <c r="B36" s="115">
        <v>0</v>
      </c>
      <c r="C36" s="72">
        <v>1</v>
      </c>
      <c r="E36" s="243">
        <f t="shared" si="2"/>
        <v>1</v>
      </c>
    </row>
    <row r="37" spans="1:10" x14ac:dyDescent="0.25">
      <c r="A37" s="243">
        <f t="shared" si="3"/>
        <v>10</v>
      </c>
      <c r="B37" s="115">
        <v>0</v>
      </c>
      <c r="C37" s="72">
        <v>1</v>
      </c>
      <c r="E37" s="243">
        <f t="shared" si="2"/>
        <v>1</v>
      </c>
    </row>
    <row r="38" spans="1:10" x14ac:dyDescent="0.25">
      <c r="A38" s="243">
        <f t="shared" si="3"/>
        <v>11</v>
      </c>
      <c r="B38" s="115">
        <v>1</v>
      </c>
      <c r="C38" s="72">
        <v>1</v>
      </c>
      <c r="E38" s="243">
        <f t="shared" si="2"/>
        <v>2</v>
      </c>
    </row>
    <row r="39" spans="1:10" x14ac:dyDescent="0.25">
      <c r="A39" s="243">
        <f t="shared" si="3"/>
        <v>12</v>
      </c>
      <c r="B39" s="115">
        <v>1</v>
      </c>
      <c r="C39" s="72">
        <v>1</v>
      </c>
      <c r="E39" s="243">
        <f t="shared" si="2"/>
        <v>2</v>
      </c>
    </row>
    <row r="40" spans="1:10" x14ac:dyDescent="0.25">
      <c r="A40" s="243">
        <f t="shared" si="3"/>
        <v>13</v>
      </c>
      <c r="B40" s="115">
        <v>0</v>
      </c>
      <c r="C40" s="72">
        <v>0</v>
      </c>
      <c r="E40" s="243">
        <f t="shared" si="2"/>
        <v>0</v>
      </c>
    </row>
    <row r="41" spans="1:10" x14ac:dyDescent="0.25">
      <c r="A41" s="243">
        <f t="shared" si="3"/>
        <v>14</v>
      </c>
      <c r="B41" s="115">
        <v>1</v>
      </c>
      <c r="C41" s="72">
        <v>0</v>
      </c>
      <c r="E41" s="243">
        <f t="shared" si="2"/>
        <v>1</v>
      </c>
    </row>
    <row r="42" spans="1:10" x14ac:dyDescent="0.25">
      <c r="A42" s="243">
        <f t="shared" si="3"/>
        <v>15</v>
      </c>
      <c r="B42" s="115">
        <v>0</v>
      </c>
      <c r="C42" s="72">
        <v>1</v>
      </c>
      <c r="E42" s="243">
        <f t="shared" si="2"/>
        <v>1</v>
      </c>
    </row>
    <row r="43" spans="1:10" x14ac:dyDescent="0.25">
      <c r="A43" s="243">
        <f t="shared" si="3"/>
        <v>16</v>
      </c>
      <c r="B43" s="115">
        <v>0</v>
      </c>
      <c r="C43" s="72">
        <v>1</v>
      </c>
      <c r="E43" s="243">
        <f t="shared" si="2"/>
        <v>1</v>
      </c>
    </row>
    <row r="44" spans="1:10" x14ac:dyDescent="0.25">
      <c r="A44" s="243">
        <f t="shared" si="3"/>
        <v>17</v>
      </c>
      <c r="B44" s="115">
        <v>0</v>
      </c>
      <c r="C44" s="72">
        <v>0</v>
      </c>
      <c r="E44" s="243">
        <f t="shared" si="2"/>
        <v>0</v>
      </c>
    </row>
    <row r="45" spans="1:10" x14ac:dyDescent="0.25">
      <c r="A45" s="243">
        <f t="shared" si="3"/>
        <v>18</v>
      </c>
      <c r="B45" s="115">
        <v>0</v>
      </c>
      <c r="C45" s="72">
        <v>1</v>
      </c>
      <c r="E45" s="243">
        <f t="shared" si="2"/>
        <v>1</v>
      </c>
    </row>
    <row r="46" spans="1:10" x14ac:dyDescent="0.25">
      <c r="A46" s="243">
        <f t="shared" si="3"/>
        <v>19</v>
      </c>
      <c r="B46" s="115">
        <v>1</v>
      </c>
      <c r="C46" s="72">
        <v>0</v>
      </c>
      <c r="E46" s="243">
        <f t="shared" si="2"/>
        <v>1</v>
      </c>
    </row>
    <row r="47" spans="1:10" x14ac:dyDescent="0.25">
      <c r="A47" s="243">
        <f t="shared" si="3"/>
        <v>20</v>
      </c>
      <c r="B47" s="62">
        <v>0</v>
      </c>
      <c r="C47" s="54">
        <v>1</v>
      </c>
      <c r="E47" s="243">
        <f t="shared" si="2"/>
        <v>1</v>
      </c>
    </row>
    <row r="48" spans="1:10" x14ac:dyDescent="0.25">
      <c r="B48" s="243">
        <f>SUM(B28:B47)</f>
        <v>6</v>
      </c>
      <c r="C48" s="243">
        <f>SUM(C28:C47)</f>
        <v>13</v>
      </c>
      <c r="E48" s="243">
        <f>SUM(B48:D48)</f>
        <v>19</v>
      </c>
    </row>
    <row r="50" spans="1:10" x14ac:dyDescent="0.25">
      <c r="A50" s="243" t="s">
        <v>35</v>
      </c>
      <c r="B50" s="243" t="s">
        <v>628</v>
      </c>
      <c r="D50" s="243" t="s">
        <v>629</v>
      </c>
    </row>
    <row r="51" spans="1:10" x14ac:dyDescent="0.25">
      <c r="A51" s="243">
        <v>1</v>
      </c>
      <c r="B51" s="242">
        <v>1</v>
      </c>
      <c r="C51" s="192"/>
      <c r="D51" s="241">
        <v>1</v>
      </c>
      <c r="E51" s="243">
        <f>SUM(B51:D51)</f>
        <v>2</v>
      </c>
      <c r="G51" t="s">
        <v>34</v>
      </c>
      <c r="H51" s="206">
        <f>COUNTA(B50:D50)</f>
        <v>2</v>
      </c>
      <c r="J51" t="e">
        <f ca="1">FTEXT(H51)</f>
        <v>#NAME?</v>
      </c>
    </row>
    <row r="52" spans="1:10" x14ac:dyDescent="0.25">
      <c r="A52" s="243">
        <f>A51+1</f>
        <v>2</v>
      </c>
      <c r="B52" s="115">
        <v>0</v>
      </c>
      <c r="C52" s="7"/>
      <c r="D52" s="72">
        <v>1</v>
      </c>
      <c r="E52" s="243">
        <f t="shared" ref="E52:E70" si="4">SUM(B52:D52)</f>
        <v>1</v>
      </c>
      <c r="G52" t="s">
        <v>16</v>
      </c>
      <c r="H52" s="78">
        <f>COUNT(B51:B70)</f>
        <v>20</v>
      </c>
      <c r="J52" t="e">
        <f ca="1">FTEXT(H52)</f>
        <v>#NAME?</v>
      </c>
    </row>
    <row r="53" spans="1:10" x14ac:dyDescent="0.25">
      <c r="A53" s="243">
        <f t="shared" ref="A53:A70" si="5">A52+1</f>
        <v>3</v>
      </c>
      <c r="B53" s="115">
        <v>0</v>
      </c>
      <c r="C53" s="7"/>
      <c r="D53" s="72">
        <v>1</v>
      </c>
      <c r="E53" s="243">
        <f t="shared" si="4"/>
        <v>1</v>
      </c>
      <c r="G53" t="s">
        <v>37</v>
      </c>
      <c r="H53" s="78">
        <f>H51-1</f>
        <v>1</v>
      </c>
      <c r="J53" t="e">
        <f ca="1">FTEXT(H53)</f>
        <v>#NAME?</v>
      </c>
    </row>
    <row r="54" spans="1:10" x14ac:dyDescent="0.25">
      <c r="A54" s="243">
        <f t="shared" si="5"/>
        <v>4</v>
      </c>
      <c r="B54" s="115">
        <v>0</v>
      </c>
      <c r="C54" s="7"/>
      <c r="D54" s="72">
        <v>0</v>
      </c>
      <c r="E54" s="243">
        <f t="shared" si="4"/>
        <v>0</v>
      </c>
      <c r="G54" t="s">
        <v>426</v>
      </c>
      <c r="H54" s="78">
        <f>H53*(H51*SUMSQ(B71:D71)-E71^2)/(H51*E71-SUMSQ(E51:E70))</f>
        <v>5.333333333333333</v>
      </c>
      <c r="J54" t="e">
        <f ca="1">FTEXT(H54)</f>
        <v>#NAME?</v>
      </c>
    </row>
    <row r="55" spans="1:10" x14ac:dyDescent="0.25">
      <c r="A55" s="243">
        <f t="shared" si="5"/>
        <v>5</v>
      </c>
      <c r="B55" s="115">
        <v>1</v>
      </c>
      <c r="C55" s="7"/>
      <c r="D55" s="72">
        <v>0</v>
      </c>
      <c r="E55" s="243">
        <f t="shared" si="4"/>
        <v>1</v>
      </c>
      <c r="G55" t="s">
        <v>58</v>
      </c>
      <c r="H55" s="78">
        <v>0.05</v>
      </c>
    </row>
    <row r="56" spans="1:10" x14ac:dyDescent="0.25">
      <c r="A56" s="243">
        <f t="shared" si="5"/>
        <v>6</v>
      </c>
      <c r="B56" s="115">
        <v>0</v>
      </c>
      <c r="C56" s="7"/>
      <c r="D56" s="72">
        <v>1</v>
      </c>
      <c r="E56" s="243">
        <f t="shared" si="4"/>
        <v>1</v>
      </c>
      <c r="G56" t="s">
        <v>43</v>
      </c>
      <c r="H56" s="78">
        <f>CHIDIST(H54,H53)</f>
        <v>2.0921335337794028E-2</v>
      </c>
      <c r="J56" t="e">
        <f ca="1">FTEXT(H56)</f>
        <v>#NAME?</v>
      </c>
    </row>
    <row r="57" spans="1:10" x14ac:dyDescent="0.25">
      <c r="A57" s="243">
        <f t="shared" si="5"/>
        <v>7</v>
      </c>
      <c r="B57" s="115">
        <v>0</v>
      </c>
      <c r="C57" s="7"/>
      <c r="D57" s="72">
        <v>1</v>
      </c>
      <c r="E57" s="243">
        <f t="shared" si="4"/>
        <v>1</v>
      </c>
      <c r="G57" t="s">
        <v>630</v>
      </c>
      <c r="H57" s="78">
        <f>CHIINV(H55,H53)</f>
        <v>3.8414588206941236</v>
      </c>
      <c r="J57" t="e">
        <f ca="1">FTEXT(H57)</f>
        <v>#NAME?</v>
      </c>
    </row>
    <row r="58" spans="1:10" x14ac:dyDescent="0.25">
      <c r="A58" s="243">
        <f t="shared" si="5"/>
        <v>8</v>
      </c>
      <c r="B58" s="115">
        <v>0</v>
      </c>
      <c r="C58" s="7"/>
      <c r="D58" s="72">
        <v>1</v>
      </c>
      <c r="E58" s="243">
        <f t="shared" si="4"/>
        <v>1</v>
      </c>
      <c r="G58" t="s">
        <v>111</v>
      </c>
      <c r="H58" s="55" t="str">
        <f>IF(H56&lt;H55,"yes","no")</f>
        <v>yes</v>
      </c>
      <c r="J58" t="e">
        <f ca="1">FTEXT(H58)</f>
        <v>#NAME?</v>
      </c>
    </row>
    <row r="59" spans="1:10" x14ac:dyDescent="0.25">
      <c r="A59" s="243">
        <f t="shared" si="5"/>
        <v>9</v>
      </c>
      <c r="B59" s="115">
        <v>0</v>
      </c>
      <c r="C59" s="7"/>
      <c r="D59" s="72">
        <v>1</v>
      </c>
      <c r="E59" s="243">
        <f t="shared" si="4"/>
        <v>1</v>
      </c>
    </row>
    <row r="60" spans="1:10" x14ac:dyDescent="0.25">
      <c r="A60" s="243">
        <f t="shared" si="5"/>
        <v>10</v>
      </c>
      <c r="B60" s="115">
        <v>0</v>
      </c>
      <c r="C60" s="7"/>
      <c r="D60" s="72">
        <v>0</v>
      </c>
      <c r="E60" s="243">
        <f t="shared" si="4"/>
        <v>0</v>
      </c>
      <c r="G60" t="s">
        <v>426</v>
      </c>
      <c r="H60" s="320" t="e">
        <f ca="1">COCHRAN(B51:D70,TRUE,FALSE)</f>
        <v>#NAME?</v>
      </c>
      <c r="J60" t="e">
        <f ca="1">FTEXT(H60)</f>
        <v>#NAME?</v>
      </c>
    </row>
    <row r="61" spans="1:10" x14ac:dyDescent="0.25">
      <c r="A61" s="243">
        <f t="shared" si="5"/>
        <v>11</v>
      </c>
      <c r="B61" s="115">
        <v>1</v>
      </c>
      <c r="C61" s="7"/>
      <c r="D61" s="72">
        <v>0</v>
      </c>
      <c r="E61" s="243">
        <f t="shared" si="4"/>
        <v>1</v>
      </c>
      <c r="G61" t="s">
        <v>43</v>
      </c>
      <c r="H61" s="58" t="e">
        <f ca="1">QTEST(B51:D70,TRUE,FALSE)</f>
        <v>#NAME?</v>
      </c>
      <c r="J61" t="e">
        <f ca="1">FTEXT(H61)</f>
        <v>#NAME?</v>
      </c>
    </row>
    <row r="62" spans="1:10" x14ac:dyDescent="0.25">
      <c r="A62" s="243">
        <f t="shared" si="5"/>
        <v>12</v>
      </c>
      <c r="B62" s="115">
        <v>1</v>
      </c>
      <c r="C62" s="7"/>
      <c r="D62" s="72">
        <v>1</v>
      </c>
      <c r="E62" s="243">
        <f t="shared" si="4"/>
        <v>2</v>
      </c>
    </row>
    <row r="63" spans="1:10" x14ac:dyDescent="0.25">
      <c r="A63" s="243">
        <f t="shared" si="5"/>
        <v>13</v>
      </c>
      <c r="B63" s="115">
        <v>0</v>
      </c>
      <c r="C63" s="7"/>
      <c r="D63" s="72">
        <v>0</v>
      </c>
      <c r="E63" s="243">
        <f t="shared" si="4"/>
        <v>0</v>
      </c>
      <c r="G63" t="s">
        <v>426</v>
      </c>
      <c r="H63" s="320" t="e">
        <f ca="1">COCHRAN(B51:D70,TRUE)</f>
        <v>#NAME?</v>
      </c>
      <c r="J63" t="e">
        <f ca="1">FTEXT(H63)</f>
        <v>#NAME?</v>
      </c>
    </row>
    <row r="64" spans="1:10" x14ac:dyDescent="0.25">
      <c r="A64" s="243">
        <f t="shared" si="5"/>
        <v>14</v>
      </c>
      <c r="B64" s="115">
        <v>1</v>
      </c>
      <c r="C64" s="7"/>
      <c r="D64" s="72">
        <v>1</v>
      </c>
      <c r="E64" s="243">
        <f t="shared" si="4"/>
        <v>2</v>
      </c>
      <c r="G64" t="s">
        <v>43</v>
      </c>
      <c r="H64" s="58" t="e">
        <f ca="1">QTEST(B51:D70,TRUE)</f>
        <v>#NAME?</v>
      </c>
      <c r="J64" t="e">
        <f ca="1">FTEXT(H64)</f>
        <v>#NAME?</v>
      </c>
    </row>
    <row r="65" spans="1:10" x14ac:dyDescent="0.25">
      <c r="A65" s="243">
        <f t="shared" si="5"/>
        <v>15</v>
      </c>
      <c r="B65" s="115">
        <v>0</v>
      </c>
      <c r="C65" s="7"/>
      <c r="D65" s="72">
        <v>1</v>
      </c>
      <c r="E65" s="243">
        <f t="shared" si="4"/>
        <v>1</v>
      </c>
    </row>
    <row r="66" spans="1:10" x14ac:dyDescent="0.25">
      <c r="A66" s="243">
        <f t="shared" si="5"/>
        <v>16</v>
      </c>
      <c r="B66" s="115">
        <v>0</v>
      </c>
      <c r="C66" s="7"/>
      <c r="D66" s="72">
        <v>0</v>
      </c>
      <c r="E66" s="243">
        <f t="shared" si="4"/>
        <v>0</v>
      </c>
    </row>
    <row r="67" spans="1:10" x14ac:dyDescent="0.25">
      <c r="A67" s="243">
        <f t="shared" si="5"/>
        <v>17</v>
      </c>
      <c r="B67" s="115">
        <v>0</v>
      </c>
      <c r="C67" s="7"/>
      <c r="D67" s="72">
        <v>1</v>
      </c>
      <c r="E67" s="243">
        <f t="shared" si="4"/>
        <v>1</v>
      </c>
    </row>
    <row r="68" spans="1:10" x14ac:dyDescent="0.25">
      <c r="A68" s="243">
        <f t="shared" si="5"/>
        <v>18</v>
      </c>
      <c r="B68" s="115">
        <v>0</v>
      </c>
      <c r="C68" s="7"/>
      <c r="D68" s="72">
        <v>1</v>
      </c>
      <c r="E68" s="243">
        <f t="shared" si="4"/>
        <v>1</v>
      </c>
    </row>
    <row r="69" spans="1:10" x14ac:dyDescent="0.25">
      <c r="A69" s="243">
        <f t="shared" si="5"/>
        <v>19</v>
      </c>
      <c r="B69" s="115">
        <v>1</v>
      </c>
      <c r="C69" s="7"/>
      <c r="D69" s="72">
        <v>1</v>
      </c>
      <c r="E69" s="243">
        <f t="shared" si="4"/>
        <v>2</v>
      </c>
    </row>
    <row r="70" spans="1:10" x14ac:dyDescent="0.25">
      <c r="A70" s="243">
        <f t="shared" si="5"/>
        <v>20</v>
      </c>
      <c r="B70" s="62">
        <v>0</v>
      </c>
      <c r="C70" s="185"/>
      <c r="D70" s="54">
        <v>1</v>
      </c>
      <c r="E70" s="243">
        <f t="shared" si="4"/>
        <v>1</v>
      </c>
    </row>
    <row r="71" spans="1:10" x14ac:dyDescent="0.25">
      <c r="B71" s="243">
        <f>SUM(B51:B70)</f>
        <v>6</v>
      </c>
      <c r="D71" s="243">
        <f>SUM(D51:D70)</f>
        <v>14</v>
      </c>
      <c r="E71" s="243">
        <f>SUM(B71:D71)</f>
        <v>20</v>
      </c>
    </row>
    <row r="73" spans="1:10" x14ac:dyDescent="0.25">
      <c r="A73" s="243" t="s">
        <v>35</v>
      </c>
      <c r="C73" s="243" t="s">
        <v>627</v>
      </c>
      <c r="D73" s="243" t="s">
        <v>629</v>
      </c>
    </row>
    <row r="74" spans="1:10" x14ac:dyDescent="0.25">
      <c r="A74" s="243">
        <v>1</v>
      </c>
      <c r="C74" s="242">
        <v>1</v>
      </c>
      <c r="D74" s="241">
        <v>1</v>
      </c>
      <c r="E74" s="243">
        <f>SUM(B74:D74)</f>
        <v>2</v>
      </c>
      <c r="G74" t="s">
        <v>34</v>
      </c>
      <c r="H74" s="206">
        <f>COUNTA(B73:D73)</f>
        <v>2</v>
      </c>
      <c r="J74" t="e">
        <f ca="1">FTEXT(H74)</f>
        <v>#NAME?</v>
      </c>
    </row>
    <row r="75" spans="1:10" x14ac:dyDescent="0.25">
      <c r="A75" s="243">
        <f>A74+1</f>
        <v>2</v>
      </c>
      <c r="C75" s="115">
        <v>1</v>
      </c>
      <c r="D75" s="72">
        <v>1</v>
      </c>
      <c r="E75" s="243">
        <f t="shared" ref="E75:E93" si="6">SUM(B75:D75)</f>
        <v>2</v>
      </c>
      <c r="G75" t="s">
        <v>16</v>
      </c>
      <c r="H75" s="78">
        <f>COUNT(B74:B93)</f>
        <v>0</v>
      </c>
      <c r="J75" t="e">
        <f ca="1">FTEXT(H75)</f>
        <v>#NAME?</v>
      </c>
    </row>
    <row r="76" spans="1:10" x14ac:dyDescent="0.25">
      <c r="A76" s="243">
        <f t="shared" ref="A76:A93" si="7">A75+1</f>
        <v>3</v>
      </c>
      <c r="C76" s="115">
        <v>0</v>
      </c>
      <c r="D76" s="72">
        <v>1</v>
      </c>
      <c r="E76" s="243">
        <f t="shared" si="6"/>
        <v>1</v>
      </c>
      <c r="G76" t="s">
        <v>37</v>
      </c>
      <c r="H76" s="78">
        <f>H74-1</f>
        <v>1</v>
      </c>
      <c r="J76" t="e">
        <f ca="1">FTEXT(H76)</f>
        <v>#NAME?</v>
      </c>
    </row>
    <row r="77" spans="1:10" x14ac:dyDescent="0.25">
      <c r="A77" s="243">
        <f t="shared" si="7"/>
        <v>4</v>
      </c>
      <c r="C77" s="115">
        <v>1</v>
      </c>
      <c r="D77" s="72">
        <v>0</v>
      </c>
      <c r="E77" s="243">
        <f t="shared" si="6"/>
        <v>1</v>
      </c>
      <c r="G77" t="s">
        <v>426</v>
      </c>
      <c r="H77" s="78">
        <f>H76*(H74*SUMSQ(B94:D94)-E94^2)/(H74*E94-SUMSQ(E74:E93))</f>
        <v>0.1111111111111111</v>
      </c>
      <c r="J77" t="e">
        <f ca="1">FTEXT(H77)</f>
        <v>#NAME?</v>
      </c>
    </row>
    <row r="78" spans="1:10" x14ac:dyDescent="0.25">
      <c r="A78" s="243">
        <f t="shared" si="7"/>
        <v>5</v>
      </c>
      <c r="C78" s="115">
        <v>0</v>
      </c>
      <c r="D78" s="72">
        <v>0</v>
      </c>
      <c r="E78" s="243">
        <f t="shared" si="6"/>
        <v>0</v>
      </c>
      <c r="G78" t="s">
        <v>58</v>
      </c>
      <c r="H78" s="78">
        <v>0.05</v>
      </c>
    </row>
    <row r="79" spans="1:10" x14ac:dyDescent="0.25">
      <c r="A79" s="243">
        <f t="shared" si="7"/>
        <v>6</v>
      </c>
      <c r="C79" s="115">
        <v>1</v>
      </c>
      <c r="D79" s="72">
        <v>1</v>
      </c>
      <c r="E79" s="243">
        <f t="shared" si="6"/>
        <v>2</v>
      </c>
      <c r="G79" t="s">
        <v>43</v>
      </c>
      <c r="H79" s="78">
        <f>CHIDIST(H77,H76)</f>
        <v>0.73888268036352722</v>
      </c>
      <c r="J79" t="e">
        <f ca="1">FTEXT(H79)</f>
        <v>#NAME?</v>
      </c>
    </row>
    <row r="80" spans="1:10" x14ac:dyDescent="0.25">
      <c r="A80" s="243">
        <f t="shared" si="7"/>
        <v>7</v>
      </c>
      <c r="C80" s="115">
        <v>1</v>
      </c>
      <c r="D80" s="72">
        <v>1</v>
      </c>
      <c r="E80" s="243">
        <f t="shared" si="6"/>
        <v>2</v>
      </c>
      <c r="G80" t="s">
        <v>630</v>
      </c>
      <c r="H80" s="78">
        <f>CHIINV(H78,H76)</f>
        <v>3.8414588206941236</v>
      </c>
      <c r="J80" t="e">
        <f ca="1">FTEXT(H80)</f>
        <v>#NAME?</v>
      </c>
    </row>
    <row r="81" spans="1:10" x14ac:dyDescent="0.25">
      <c r="A81" s="243">
        <f t="shared" si="7"/>
        <v>8</v>
      </c>
      <c r="C81" s="115">
        <v>0</v>
      </c>
      <c r="D81" s="72">
        <v>1</v>
      </c>
      <c r="E81" s="243">
        <f t="shared" si="6"/>
        <v>1</v>
      </c>
      <c r="G81" t="s">
        <v>111</v>
      </c>
      <c r="H81" s="55" t="str">
        <f>IF(H79&lt;H78,"yes","no")</f>
        <v>no</v>
      </c>
      <c r="J81" t="e">
        <f ca="1">FTEXT(H81)</f>
        <v>#NAME?</v>
      </c>
    </row>
    <row r="82" spans="1:10" x14ac:dyDescent="0.25">
      <c r="A82" s="243">
        <f t="shared" si="7"/>
        <v>9</v>
      </c>
      <c r="C82" s="115">
        <v>1</v>
      </c>
      <c r="D82" s="72">
        <v>1</v>
      </c>
      <c r="E82" s="243">
        <f t="shared" si="6"/>
        <v>2</v>
      </c>
    </row>
    <row r="83" spans="1:10" x14ac:dyDescent="0.25">
      <c r="A83" s="243">
        <f t="shared" si="7"/>
        <v>10</v>
      </c>
      <c r="C83" s="115">
        <v>1</v>
      </c>
      <c r="D83" s="72">
        <v>0</v>
      </c>
      <c r="E83" s="243">
        <f t="shared" si="6"/>
        <v>1</v>
      </c>
    </row>
    <row r="84" spans="1:10" x14ac:dyDescent="0.25">
      <c r="A84" s="243">
        <f t="shared" si="7"/>
        <v>11</v>
      </c>
      <c r="C84" s="115">
        <v>1</v>
      </c>
      <c r="D84" s="72">
        <v>0</v>
      </c>
      <c r="E84" s="243">
        <f t="shared" si="6"/>
        <v>1</v>
      </c>
    </row>
    <row r="85" spans="1:10" x14ac:dyDescent="0.25">
      <c r="A85" s="243">
        <f t="shared" si="7"/>
        <v>12</v>
      </c>
      <c r="C85" s="115">
        <v>1</v>
      </c>
      <c r="D85" s="72">
        <v>1</v>
      </c>
      <c r="E85" s="243">
        <f t="shared" si="6"/>
        <v>2</v>
      </c>
    </row>
    <row r="86" spans="1:10" x14ac:dyDescent="0.25">
      <c r="A86" s="243">
        <f t="shared" si="7"/>
        <v>13</v>
      </c>
      <c r="C86" s="115">
        <v>0</v>
      </c>
      <c r="D86" s="72">
        <v>0</v>
      </c>
      <c r="E86" s="243">
        <f t="shared" si="6"/>
        <v>0</v>
      </c>
    </row>
    <row r="87" spans="1:10" x14ac:dyDescent="0.25">
      <c r="A87" s="243">
        <f t="shared" si="7"/>
        <v>14</v>
      </c>
      <c r="C87" s="115">
        <v>0</v>
      </c>
      <c r="D87" s="72">
        <v>1</v>
      </c>
      <c r="E87" s="243">
        <f t="shared" si="6"/>
        <v>1</v>
      </c>
    </row>
    <row r="88" spans="1:10" x14ac:dyDescent="0.25">
      <c r="A88" s="243">
        <f t="shared" si="7"/>
        <v>15</v>
      </c>
      <c r="C88" s="115">
        <v>1</v>
      </c>
      <c r="D88" s="72">
        <v>1</v>
      </c>
      <c r="E88" s="243">
        <f t="shared" si="6"/>
        <v>2</v>
      </c>
    </row>
    <row r="89" spans="1:10" x14ac:dyDescent="0.25">
      <c r="A89" s="243">
        <f t="shared" si="7"/>
        <v>16</v>
      </c>
      <c r="C89" s="115">
        <v>1</v>
      </c>
      <c r="D89" s="72">
        <v>0</v>
      </c>
      <c r="E89" s="243">
        <f t="shared" si="6"/>
        <v>1</v>
      </c>
    </row>
    <row r="90" spans="1:10" x14ac:dyDescent="0.25">
      <c r="A90" s="243">
        <f t="shared" si="7"/>
        <v>17</v>
      </c>
      <c r="C90" s="115">
        <v>0</v>
      </c>
      <c r="D90" s="72">
        <v>1</v>
      </c>
      <c r="E90" s="243">
        <f t="shared" si="6"/>
        <v>1</v>
      </c>
    </row>
    <row r="91" spans="1:10" x14ac:dyDescent="0.25">
      <c r="A91" s="243">
        <f t="shared" si="7"/>
        <v>18</v>
      </c>
      <c r="C91" s="115">
        <v>1</v>
      </c>
      <c r="D91" s="72">
        <v>1</v>
      </c>
      <c r="E91" s="243">
        <f t="shared" si="6"/>
        <v>2</v>
      </c>
    </row>
    <row r="92" spans="1:10" x14ac:dyDescent="0.25">
      <c r="A92" s="243">
        <f t="shared" si="7"/>
        <v>19</v>
      </c>
      <c r="C92" s="115">
        <v>0</v>
      </c>
      <c r="D92" s="72">
        <v>1</v>
      </c>
      <c r="E92" s="243">
        <f t="shared" si="6"/>
        <v>1</v>
      </c>
    </row>
    <row r="93" spans="1:10" x14ac:dyDescent="0.25">
      <c r="A93" s="243">
        <f t="shared" si="7"/>
        <v>20</v>
      </c>
      <c r="C93" s="62">
        <v>1</v>
      </c>
      <c r="D93" s="54">
        <v>1</v>
      </c>
      <c r="E93" s="243">
        <f t="shared" si="6"/>
        <v>2</v>
      </c>
    </row>
    <row r="94" spans="1:10" x14ac:dyDescent="0.25">
      <c r="C94" s="243">
        <f>SUM(C74:C93)</f>
        <v>13</v>
      </c>
      <c r="D94" s="243">
        <f>SUM(D74:D93)</f>
        <v>14</v>
      </c>
      <c r="E94" s="243">
        <f>SUM(B94:D94)</f>
        <v>27</v>
      </c>
    </row>
  </sheetData>
  <pageMargins left="0.7" right="0.7" top="0.75" bottom="0.75" header="0.3" footer="0.3"/>
  <ignoredErrors>
    <ignoredError sqref="E4 E51" formulaRange="1"/>
  </ignoredError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4"/>
  <dimension ref="A1:V21"/>
  <sheetViews>
    <sheetView workbookViewId="0"/>
  </sheetViews>
  <sheetFormatPr defaultRowHeight="15" x14ac:dyDescent="0.25"/>
  <cols>
    <col min="10" max="10" width="3.5703125" customWidth="1"/>
    <col min="11" max="11" width="41.42578125" customWidth="1"/>
  </cols>
  <sheetData>
    <row r="1" spans="1:22" x14ac:dyDescent="0.25">
      <c r="A1" s="1" t="s">
        <v>626</v>
      </c>
      <c r="S1" t="s">
        <v>634</v>
      </c>
    </row>
    <row r="3" spans="1:22" x14ac:dyDescent="0.25">
      <c r="A3" s="243" t="s">
        <v>74</v>
      </c>
      <c r="B3" s="243" t="s">
        <v>65</v>
      </c>
      <c r="C3" s="243" t="s">
        <v>66</v>
      </c>
      <c r="D3" s="243" t="s">
        <v>67</v>
      </c>
      <c r="E3" s="243" t="s">
        <v>13</v>
      </c>
      <c r="M3" s="243" t="s">
        <v>74</v>
      </c>
      <c r="N3" s="243" t="s">
        <v>65</v>
      </c>
      <c r="O3" s="243" t="s">
        <v>66</v>
      </c>
      <c r="P3" s="243" t="s">
        <v>67</v>
      </c>
      <c r="Q3" s="243"/>
      <c r="S3" t="s">
        <v>626</v>
      </c>
    </row>
    <row r="4" spans="1:22" x14ac:dyDescent="0.25">
      <c r="A4" s="242">
        <v>0</v>
      </c>
      <c r="B4" s="202">
        <v>0</v>
      </c>
      <c r="C4" s="202">
        <v>0</v>
      </c>
      <c r="D4" s="241">
        <v>0</v>
      </c>
      <c r="E4" s="240">
        <v>6</v>
      </c>
      <c r="F4" s="243">
        <f>SUM(A4:D4)^2*E4</f>
        <v>0</v>
      </c>
      <c r="H4" t="s">
        <v>34</v>
      </c>
      <c r="I4" s="206">
        <f>COUNTA(A3:D3)</f>
        <v>4</v>
      </c>
      <c r="K4" t="e">
        <f ca="1">FTEXT(I4)</f>
        <v>#NAME?</v>
      </c>
      <c r="M4" s="246">
        <f>A20/$I5</f>
        <v>0.56999999999999995</v>
      </c>
      <c r="N4" s="247">
        <f>B20/$I5</f>
        <v>0.49</v>
      </c>
      <c r="O4" s="247">
        <f>C20/$I5</f>
        <v>0.43</v>
      </c>
      <c r="P4" s="248">
        <f>D20/$I5</f>
        <v>0.38</v>
      </c>
      <c r="Q4" s="249"/>
    </row>
    <row r="5" spans="1:22" x14ac:dyDescent="0.25">
      <c r="A5" s="115">
        <v>0</v>
      </c>
      <c r="B5" s="244">
        <v>0</v>
      </c>
      <c r="C5" s="244">
        <v>0</v>
      </c>
      <c r="D5" s="72">
        <v>1</v>
      </c>
      <c r="E5" s="147">
        <v>3</v>
      </c>
      <c r="F5" s="243">
        <f t="shared" ref="F5:F19" si="0">SUM(A5:D5)^2*E5</f>
        <v>3</v>
      </c>
      <c r="H5" t="s">
        <v>16</v>
      </c>
      <c r="I5" s="78">
        <f>SUM(E4:E19)</f>
        <v>100</v>
      </c>
      <c r="K5" t="e">
        <f ca="1">FTEXT(I5)</f>
        <v>#NAME?</v>
      </c>
      <c r="S5" t="s">
        <v>17</v>
      </c>
      <c r="T5" s="250">
        <v>0.05</v>
      </c>
    </row>
    <row r="6" spans="1:22" x14ac:dyDescent="0.25">
      <c r="A6" s="115">
        <v>0</v>
      </c>
      <c r="B6" s="244">
        <v>0</v>
      </c>
      <c r="C6" s="244">
        <v>1</v>
      </c>
      <c r="D6" s="72">
        <v>0</v>
      </c>
      <c r="E6" s="147">
        <v>6</v>
      </c>
      <c r="F6" s="243">
        <f t="shared" si="0"/>
        <v>6</v>
      </c>
      <c r="H6" t="s">
        <v>37</v>
      </c>
      <c r="I6" s="78">
        <f>I4-1</f>
        <v>3</v>
      </c>
      <c r="K6" t="e">
        <f ca="1">FTEXT(I6)</f>
        <v>#NAME?</v>
      </c>
    </row>
    <row r="7" spans="1:22" x14ac:dyDescent="0.25">
      <c r="A7" s="115">
        <v>0</v>
      </c>
      <c r="B7" s="244">
        <v>0</v>
      </c>
      <c r="C7" s="244">
        <v>1</v>
      </c>
      <c r="D7" s="72">
        <v>1</v>
      </c>
      <c r="E7" s="147">
        <v>7</v>
      </c>
      <c r="F7" s="243">
        <f t="shared" si="0"/>
        <v>28</v>
      </c>
      <c r="H7" t="s">
        <v>426</v>
      </c>
      <c r="I7" s="78">
        <f>I6*(I4*SUMSQ(A20:D20)-E20^2)/(I4*E20-F20)</f>
        <v>7.3669724770642198</v>
      </c>
      <c r="K7" t="e">
        <f ca="1">FTEXT(I7)</f>
        <v>#NAME?</v>
      </c>
      <c r="S7" t="s">
        <v>632</v>
      </c>
      <c r="T7" s="251" t="e">
        <f ca="1">COCHRAN(A4:E19)</f>
        <v>#NAME?</v>
      </c>
    </row>
    <row r="8" spans="1:22" x14ac:dyDescent="0.25">
      <c r="A8" s="115">
        <v>0</v>
      </c>
      <c r="B8" s="244">
        <v>1</v>
      </c>
      <c r="C8" s="244">
        <v>0</v>
      </c>
      <c r="D8" s="72">
        <v>0</v>
      </c>
      <c r="E8" s="147">
        <v>2</v>
      </c>
      <c r="F8" s="243">
        <f t="shared" si="0"/>
        <v>2</v>
      </c>
      <c r="H8" t="s">
        <v>58</v>
      </c>
      <c r="I8" s="78">
        <v>0.05</v>
      </c>
      <c r="S8" t="s">
        <v>37</v>
      </c>
      <c r="T8" s="173">
        <f>COUNT(A4:E4)-2</f>
        <v>3</v>
      </c>
    </row>
    <row r="9" spans="1:22" x14ac:dyDescent="0.25">
      <c r="A9" s="115">
        <v>0</v>
      </c>
      <c r="B9" s="244">
        <v>1</v>
      </c>
      <c r="C9" s="244">
        <v>0</v>
      </c>
      <c r="D9" s="72">
        <v>1</v>
      </c>
      <c r="E9" s="147">
        <v>9</v>
      </c>
      <c r="F9" s="243">
        <f t="shared" si="0"/>
        <v>36</v>
      </c>
      <c r="H9" t="s">
        <v>43</v>
      </c>
      <c r="I9" s="78">
        <f>CHIDIST(I7,I6)</f>
        <v>6.1076841177476054E-2</v>
      </c>
      <c r="K9" t="e">
        <f ca="1">FTEXT(I9)</f>
        <v>#NAME?</v>
      </c>
      <c r="S9" t="s">
        <v>43</v>
      </c>
      <c r="T9" s="173" t="e">
        <f ca="1">CHIDIST(T7,T8)</f>
        <v>#NAME?</v>
      </c>
    </row>
    <row r="10" spans="1:22" x14ac:dyDescent="0.25">
      <c r="A10" s="115">
        <v>0</v>
      </c>
      <c r="B10" s="244">
        <v>1</v>
      </c>
      <c r="C10" s="244">
        <v>1</v>
      </c>
      <c r="D10" s="72">
        <v>0</v>
      </c>
      <c r="E10" s="147">
        <v>10</v>
      </c>
      <c r="F10" s="243">
        <f t="shared" si="0"/>
        <v>40</v>
      </c>
      <c r="H10" t="s">
        <v>630</v>
      </c>
      <c r="I10" s="78">
        <f>CHIINV(I8,I6)</f>
        <v>7.8147279032511792</v>
      </c>
      <c r="K10" t="e">
        <f ca="1">FTEXT(I10)</f>
        <v>#NAME?</v>
      </c>
      <c r="S10" t="s">
        <v>111</v>
      </c>
      <c r="T10" s="181" t="e">
        <f ca="1">IF(T9&lt;T5,"yes","no")</f>
        <v>#NAME?</v>
      </c>
    </row>
    <row r="11" spans="1:22" x14ac:dyDescent="0.25">
      <c r="A11" s="115">
        <v>0</v>
      </c>
      <c r="B11" s="244">
        <v>1</v>
      </c>
      <c r="C11" s="244">
        <v>1</v>
      </c>
      <c r="D11" s="72">
        <v>1</v>
      </c>
      <c r="E11" s="147">
        <v>0</v>
      </c>
      <c r="F11" s="243">
        <f t="shared" si="0"/>
        <v>0</v>
      </c>
      <c r="H11" t="s">
        <v>111</v>
      </c>
      <c r="I11" s="55" t="str">
        <f>IF(I9&lt;I8,"yes","no")</f>
        <v>no</v>
      </c>
      <c r="K11" t="e">
        <f ca="1">FTEXT(I11)</f>
        <v>#NAME?</v>
      </c>
    </row>
    <row r="12" spans="1:22" x14ac:dyDescent="0.25">
      <c r="A12" s="115">
        <v>1</v>
      </c>
      <c r="B12" s="244">
        <v>0</v>
      </c>
      <c r="C12" s="244">
        <v>0</v>
      </c>
      <c r="D12" s="72">
        <v>0</v>
      </c>
      <c r="E12" s="147">
        <v>11</v>
      </c>
      <c r="F12" s="243">
        <f t="shared" si="0"/>
        <v>11</v>
      </c>
      <c r="S12" t="s">
        <v>633</v>
      </c>
    </row>
    <row r="13" spans="1:22" x14ac:dyDescent="0.25">
      <c r="A13" s="115">
        <v>1</v>
      </c>
      <c r="B13" s="244">
        <v>0</v>
      </c>
      <c r="C13" s="244">
        <v>0</v>
      </c>
      <c r="D13" s="72">
        <v>1</v>
      </c>
      <c r="E13" s="147">
        <v>6</v>
      </c>
      <c r="F13" s="243">
        <f t="shared" si="0"/>
        <v>24</v>
      </c>
    </row>
    <row r="14" spans="1:22" x14ac:dyDescent="0.25">
      <c r="A14" s="115">
        <v>1</v>
      </c>
      <c r="B14" s="244">
        <v>0</v>
      </c>
      <c r="C14" s="244">
        <v>1</v>
      </c>
      <c r="D14" s="72">
        <v>0</v>
      </c>
      <c r="E14" s="147">
        <v>8</v>
      </c>
      <c r="F14" s="243">
        <f t="shared" si="0"/>
        <v>32</v>
      </c>
      <c r="H14" t="s">
        <v>555</v>
      </c>
      <c r="M14" t="s">
        <v>555</v>
      </c>
      <c r="S14" t="str">
        <f>A3</f>
        <v>A</v>
      </c>
      <c r="T14" t="str">
        <f>B3</f>
        <v>B</v>
      </c>
      <c r="U14" t="str">
        <f>C3</f>
        <v>C</v>
      </c>
      <c r="V14" t="str">
        <f>D3</f>
        <v>D</v>
      </c>
    </row>
    <row r="15" spans="1:22" x14ac:dyDescent="0.25">
      <c r="A15" s="115">
        <v>1</v>
      </c>
      <c r="B15" s="244">
        <v>0</v>
      </c>
      <c r="C15" s="244">
        <v>1</v>
      </c>
      <c r="D15" s="72">
        <v>1</v>
      </c>
      <c r="E15" s="147">
        <v>4</v>
      </c>
      <c r="F15" s="243">
        <f t="shared" si="0"/>
        <v>36</v>
      </c>
      <c r="S15" s="252" t="e">
        <f t="array" aca="1" ref="S15:V15" ca="1">QRATIO(A4:E19)</f>
        <v>#NAME?</v>
      </c>
      <c r="T15" s="253" t="e">
        <f ca="1"/>
        <v>#NAME?</v>
      </c>
      <c r="U15" s="253" t="e">
        <f ca="1"/>
        <v>#NAME?</v>
      </c>
      <c r="V15" s="254" t="e">
        <f ca="1"/>
        <v>#NAME?</v>
      </c>
    </row>
    <row r="16" spans="1:22" x14ac:dyDescent="0.25">
      <c r="A16" s="115">
        <v>1</v>
      </c>
      <c r="B16" s="244">
        <v>1</v>
      </c>
      <c r="C16" s="244">
        <v>0</v>
      </c>
      <c r="D16" s="72">
        <v>0</v>
      </c>
      <c r="E16" s="147">
        <v>14</v>
      </c>
      <c r="F16" s="243">
        <f t="shared" si="0"/>
        <v>56</v>
      </c>
      <c r="H16" t="s">
        <v>426</v>
      </c>
      <c r="I16" s="206" t="e">
        <f ca="1">COCHRAN(A4:E19)</f>
        <v>#NAME?</v>
      </c>
      <c r="M16" s="156" t="e">
        <f t="array" aca="1" ref="M16:P16" ca="1">QRATIO(A4:E19)</f>
        <v>#NAME?</v>
      </c>
      <c r="N16" s="150" t="e">
        <f ca="1"/>
        <v>#NAME?</v>
      </c>
      <c r="O16" s="150" t="e">
        <f ca="1"/>
        <v>#NAME?</v>
      </c>
      <c r="P16" s="157" t="e">
        <f ca="1"/>
        <v>#NAME?</v>
      </c>
      <c r="Q16" s="7"/>
    </row>
    <row r="17" spans="1:9" x14ac:dyDescent="0.25">
      <c r="A17" s="115">
        <v>1</v>
      </c>
      <c r="B17" s="244">
        <v>1</v>
      </c>
      <c r="C17" s="244">
        <v>0</v>
      </c>
      <c r="D17" s="72">
        <v>1</v>
      </c>
      <c r="E17" s="147">
        <v>6</v>
      </c>
      <c r="F17" s="243">
        <f t="shared" si="0"/>
        <v>54</v>
      </c>
      <c r="H17" t="s">
        <v>43</v>
      </c>
      <c r="I17" s="58" t="e">
        <f ca="1">QTEST(A4:E19)</f>
        <v>#NAME?</v>
      </c>
    </row>
    <row r="18" spans="1:9" x14ac:dyDescent="0.25">
      <c r="A18" s="115">
        <v>1</v>
      </c>
      <c r="B18" s="244">
        <v>1</v>
      </c>
      <c r="C18" s="244">
        <v>1</v>
      </c>
      <c r="D18" s="72">
        <v>0</v>
      </c>
      <c r="E18" s="147">
        <v>5</v>
      </c>
      <c r="F18" s="243">
        <f t="shared" si="0"/>
        <v>45</v>
      </c>
    </row>
    <row r="19" spans="1:9" x14ac:dyDescent="0.25">
      <c r="A19" s="62">
        <v>1</v>
      </c>
      <c r="B19" s="201">
        <v>1</v>
      </c>
      <c r="C19" s="201">
        <v>1</v>
      </c>
      <c r="D19" s="54">
        <v>1</v>
      </c>
      <c r="E19" s="146">
        <v>3</v>
      </c>
      <c r="F19" s="243">
        <f t="shared" si="0"/>
        <v>48</v>
      </c>
    </row>
    <row r="20" spans="1:9" x14ac:dyDescent="0.25">
      <c r="A20" s="243">
        <f>SUMPRODUCT(A4:A19,$E4:$E19)</f>
        <v>57</v>
      </c>
      <c r="B20" s="243">
        <f>SUMPRODUCT(B4:B19,$E4:$E19)</f>
        <v>49</v>
      </c>
      <c r="C20" s="243">
        <f>SUMPRODUCT(C4:C19,$E4:$E19)</f>
        <v>43</v>
      </c>
      <c r="D20" s="243">
        <f>SUMPRODUCT(D4:D19,$E4:$E19)</f>
        <v>38</v>
      </c>
      <c r="E20" s="243">
        <f>SUM(A20:D20)</f>
        <v>187</v>
      </c>
      <c r="F20" s="243">
        <f>SUM(F4:F19)</f>
        <v>421</v>
      </c>
    </row>
    <row r="21" spans="1:9" x14ac:dyDescent="0.25">
      <c r="E21" s="24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5"/>
  <dimension ref="A1:AA17"/>
  <sheetViews>
    <sheetView workbookViewId="0"/>
  </sheetViews>
  <sheetFormatPr defaultRowHeight="15" x14ac:dyDescent="0.25"/>
  <cols>
    <col min="1" max="1" width="5.85546875" customWidth="1"/>
    <col min="2" max="5" width="10.140625" customWidth="1"/>
    <col min="6" max="6" width="10.7109375" customWidth="1"/>
    <col min="7" max="12" width="10.140625" customWidth="1"/>
  </cols>
  <sheetData>
    <row r="1" spans="1:27" x14ac:dyDescent="0.25">
      <c r="A1" s="1" t="s">
        <v>353</v>
      </c>
    </row>
    <row r="3" spans="1:27" x14ac:dyDescent="0.25">
      <c r="B3" t="s">
        <v>18</v>
      </c>
      <c r="G3" t="s">
        <v>3</v>
      </c>
      <c r="M3" t="s">
        <v>136</v>
      </c>
      <c r="T3" t="s">
        <v>376</v>
      </c>
    </row>
    <row r="5" spans="1:27" x14ac:dyDescent="0.25">
      <c r="B5" s="138" t="s">
        <v>19</v>
      </c>
      <c r="C5" s="138" t="s">
        <v>20</v>
      </c>
      <c r="D5" s="138" t="s">
        <v>26</v>
      </c>
      <c r="E5" s="140" t="s">
        <v>27</v>
      </c>
      <c r="G5" s="138" t="s">
        <v>19</v>
      </c>
      <c r="H5" s="138" t="s">
        <v>20</v>
      </c>
      <c r="I5" s="138" t="s">
        <v>26</v>
      </c>
      <c r="J5" s="140" t="s">
        <v>27</v>
      </c>
      <c r="K5" s="142"/>
      <c r="N5" s="138" t="s">
        <v>19</v>
      </c>
      <c r="O5" s="138" t="s">
        <v>20</v>
      </c>
      <c r="P5" s="138" t="s">
        <v>26</v>
      </c>
      <c r="Q5" s="140" t="s">
        <v>27</v>
      </c>
      <c r="T5" s="476" t="s">
        <v>19</v>
      </c>
      <c r="U5" s="477"/>
      <c r="V5" s="476" t="s">
        <v>20</v>
      </c>
      <c r="W5" s="477"/>
      <c r="X5" s="476" t="s">
        <v>26</v>
      </c>
      <c r="Y5" s="477"/>
      <c r="Z5" s="478" t="s">
        <v>27</v>
      </c>
      <c r="AA5" s="479"/>
    </row>
    <row r="6" spans="1:27" x14ac:dyDescent="0.25">
      <c r="B6">
        <v>12</v>
      </c>
      <c r="C6">
        <v>45</v>
      </c>
      <c r="D6">
        <v>20</v>
      </c>
      <c r="E6">
        <v>12</v>
      </c>
      <c r="G6">
        <v>17.5</v>
      </c>
      <c r="H6">
        <v>70.8</v>
      </c>
      <c r="I6">
        <v>71.400000000000006</v>
      </c>
      <c r="J6">
        <v>35</v>
      </c>
      <c r="M6" t="s">
        <v>29</v>
      </c>
      <c r="N6">
        <f>MIN(B6:B15)</f>
        <v>8</v>
      </c>
      <c r="O6">
        <f>MIN(C6:C15)</f>
        <v>13</v>
      </c>
      <c r="P6">
        <f>MIN(D6:D15)</f>
        <v>9</v>
      </c>
      <c r="Q6">
        <f>MIN(E6:E15)</f>
        <v>7</v>
      </c>
      <c r="T6" s="107">
        <v>17.5</v>
      </c>
      <c r="U6" s="108">
        <v>12</v>
      </c>
      <c r="V6" s="107">
        <v>70.8</v>
      </c>
      <c r="W6" s="108">
        <v>45</v>
      </c>
      <c r="X6" s="107">
        <v>71.400000000000006</v>
      </c>
      <c r="Y6" s="108">
        <v>20</v>
      </c>
      <c r="Z6" s="107">
        <v>35</v>
      </c>
      <c r="AA6" s="108">
        <v>12</v>
      </c>
    </row>
    <row r="7" spans="1:27" x14ac:dyDescent="0.25">
      <c r="B7">
        <v>39</v>
      </c>
      <c r="C7">
        <v>37</v>
      </c>
      <c r="D7">
        <v>42</v>
      </c>
      <c r="E7">
        <v>10</v>
      </c>
      <c r="G7">
        <v>104.60000000000001</v>
      </c>
      <c r="H7">
        <v>45.9</v>
      </c>
      <c r="I7">
        <v>55</v>
      </c>
      <c r="J7">
        <v>33</v>
      </c>
      <c r="M7" t="s">
        <v>30</v>
      </c>
      <c r="N7">
        <f>QUARTILE(B6:B15,1)-N6</f>
        <v>6.25</v>
      </c>
      <c r="O7">
        <f>QUARTILE(C6:C15,1)-O6</f>
        <v>16</v>
      </c>
      <c r="P7">
        <f>QUARTILE(D6:D15,1)-P6</f>
        <v>4.5</v>
      </c>
      <c r="Q7">
        <f>QUARTILE(E6:E15,1)-Q6</f>
        <v>3.5</v>
      </c>
      <c r="T7" s="107">
        <v>104.60000000000001</v>
      </c>
      <c r="U7" s="108">
        <v>39</v>
      </c>
      <c r="V7" s="107">
        <v>45.9</v>
      </c>
      <c r="W7" s="108">
        <v>37</v>
      </c>
      <c r="X7" s="107">
        <v>55</v>
      </c>
      <c r="Y7" s="108">
        <v>42</v>
      </c>
      <c r="Z7" s="107">
        <v>33</v>
      </c>
      <c r="AA7" s="108">
        <v>10</v>
      </c>
    </row>
    <row r="8" spans="1:27" x14ac:dyDescent="0.25">
      <c r="B8">
        <v>36</v>
      </c>
      <c r="C8">
        <v>13</v>
      </c>
      <c r="D8">
        <v>31</v>
      </c>
      <c r="E8">
        <v>19</v>
      </c>
      <c r="G8">
        <v>64.7</v>
      </c>
      <c r="H8">
        <v>47.5</v>
      </c>
      <c r="I8">
        <v>54</v>
      </c>
      <c r="J8">
        <v>34.200000000000003</v>
      </c>
      <c r="M8" t="s">
        <v>31</v>
      </c>
      <c r="N8">
        <f>MEDIAN(B6:B15)-QUARTILE(B6:B15,1)</f>
        <v>6.75</v>
      </c>
      <c r="O8">
        <f>MEDIAN(C6:C15)-QUARTILE(C6:C15,1)</f>
        <v>7</v>
      </c>
      <c r="P8">
        <f>MEDIAN(D6:D15)-QUARTILE(D6:D15,1)</f>
        <v>7</v>
      </c>
      <c r="Q8">
        <f>MEDIAN(E6:E15)-QUARTILE(E6:E15,1)</f>
        <v>5.5</v>
      </c>
      <c r="T8" s="107">
        <v>64.7</v>
      </c>
      <c r="U8" s="108">
        <v>36</v>
      </c>
      <c r="V8" s="107">
        <v>47.5</v>
      </c>
      <c r="W8" s="108">
        <v>13</v>
      </c>
      <c r="X8" s="107">
        <v>54</v>
      </c>
      <c r="Y8" s="108">
        <v>31</v>
      </c>
      <c r="Z8" s="107">
        <v>34.200000000000003</v>
      </c>
      <c r="AA8" s="108">
        <v>19</v>
      </c>
    </row>
    <row r="9" spans="1:27" x14ac:dyDescent="0.25">
      <c r="B9">
        <v>17</v>
      </c>
      <c r="C9">
        <v>50</v>
      </c>
      <c r="D9">
        <v>24</v>
      </c>
      <c r="E9">
        <v>18</v>
      </c>
      <c r="G9">
        <v>47</v>
      </c>
      <c r="H9">
        <v>77.8</v>
      </c>
      <c r="I9">
        <v>27.9</v>
      </c>
      <c r="J9">
        <v>43.2</v>
      </c>
      <c r="M9" t="s">
        <v>32</v>
      </c>
      <c r="N9">
        <f>QUARTILE(B6:B15,3)-MEDIAN(B6:B15)</f>
        <v>11.25</v>
      </c>
      <c r="O9">
        <f>QUARTILE(C6:C15,3)-MEDIAN(C6:C15)</f>
        <v>5.25</v>
      </c>
      <c r="P9">
        <f>QUARTILE(D6:D15,3)-MEDIAN(D6:D15)</f>
        <v>8.75</v>
      </c>
      <c r="Q9">
        <f>QUARTILE(E6:E15,3)-MEDIAN(E6:E15)</f>
        <v>3</v>
      </c>
      <c r="T9" s="107">
        <v>47</v>
      </c>
      <c r="U9" s="108">
        <v>17</v>
      </c>
      <c r="V9" s="107">
        <v>77.8</v>
      </c>
      <c r="W9" s="108">
        <v>50</v>
      </c>
      <c r="X9" s="107">
        <v>27.9</v>
      </c>
      <c r="Y9" s="108">
        <v>24</v>
      </c>
      <c r="Z9" s="107">
        <v>43.2</v>
      </c>
      <c r="AA9" s="108">
        <v>18</v>
      </c>
    </row>
    <row r="10" spans="1:27" x14ac:dyDescent="0.25">
      <c r="B10">
        <v>25</v>
      </c>
      <c r="C10">
        <v>35</v>
      </c>
      <c r="D10">
        <v>15</v>
      </c>
      <c r="E10">
        <v>14</v>
      </c>
      <c r="G10">
        <v>22</v>
      </c>
      <c r="H10">
        <v>70.900000000000006</v>
      </c>
      <c r="I10">
        <v>40.599999999999994</v>
      </c>
      <c r="J10">
        <v>20</v>
      </c>
      <c r="M10" t="s">
        <v>33</v>
      </c>
      <c r="N10">
        <f>MAX(B6:B15)-QUARTILE(B6:B15,3)</f>
        <v>6.75</v>
      </c>
      <c r="O10">
        <f>MAX(C6:C15)-QUARTILE(C6:C15,3)</f>
        <v>8.75</v>
      </c>
      <c r="P10">
        <f>MAX(D6:D15)-QUARTILE(D6:D15,3)</f>
        <v>12.75</v>
      </c>
      <c r="Q10">
        <f>MAX(E6:E15)-QUARTILE(E6:E15,3)</f>
        <v>7</v>
      </c>
      <c r="T10" s="107">
        <v>22</v>
      </c>
      <c r="U10" s="108">
        <v>25</v>
      </c>
      <c r="V10" s="107">
        <v>70.900000000000006</v>
      </c>
      <c r="W10" s="108">
        <v>35</v>
      </c>
      <c r="X10" s="107">
        <v>40.599999999999994</v>
      </c>
      <c r="Y10" s="108">
        <v>15</v>
      </c>
      <c r="Z10" s="107">
        <v>20</v>
      </c>
      <c r="AA10" s="108">
        <v>14</v>
      </c>
    </row>
    <row r="11" spans="1:27" x14ac:dyDescent="0.25">
      <c r="B11">
        <v>15</v>
      </c>
      <c r="C11">
        <v>40</v>
      </c>
      <c r="D11">
        <v>13</v>
      </c>
      <c r="E11">
        <v>8</v>
      </c>
      <c r="G11">
        <v>12.4</v>
      </c>
      <c r="H11">
        <v>84.8</v>
      </c>
      <c r="I11">
        <v>33</v>
      </c>
      <c r="J11">
        <v>37</v>
      </c>
      <c r="T11" s="107">
        <v>12.4</v>
      </c>
      <c r="U11" s="108">
        <v>15</v>
      </c>
      <c r="V11" s="107">
        <v>84.8</v>
      </c>
      <c r="W11" s="108">
        <v>40</v>
      </c>
      <c r="X11" s="107">
        <v>33</v>
      </c>
      <c r="Y11" s="108">
        <v>13</v>
      </c>
      <c r="Z11" s="107">
        <v>37</v>
      </c>
      <c r="AA11" s="108">
        <v>8</v>
      </c>
    </row>
    <row r="12" spans="1:27" x14ac:dyDescent="0.25">
      <c r="B12">
        <v>8</v>
      </c>
      <c r="C12">
        <v>33</v>
      </c>
      <c r="D12">
        <v>9</v>
      </c>
      <c r="E12">
        <v>7</v>
      </c>
      <c r="G12">
        <v>20</v>
      </c>
      <c r="H12">
        <v>49.8</v>
      </c>
      <c r="I12">
        <v>22.2</v>
      </c>
      <c r="J12">
        <v>28.2</v>
      </c>
      <c r="T12" s="107">
        <v>20</v>
      </c>
      <c r="U12" s="108">
        <v>8</v>
      </c>
      <c r="V12" s="107">
        <v>49.8</v>
      </c>
      <c r="W12" s="108">
        <v>33</v>
      </c>
      <c r="X12" s="107">
        <v>22.2</v>
      </c>
      <c r="Y12" s="108">
        <v>9</v>
      </c>
      <c r="Z12" s="107">
        <v>28.2</v>
      </c>
      <c r="AA12" s="108">
        <v>7</v>
      </c>
    </row>
    <row r="13" spans="1:27" x14ac:dyDescent="0.25">
      <c r="B13">
        <v>31</v>
      </c>
      <c r="C13">
        <v>17</v>
      </c>
      <c r="D13">
        <v>21</v>
      </c>
      <c r="E13">
        <v>19</v>
      </c>
      <c r="G13">
        <v>79.7</v>
      </c>
      <c r="H13">
        <v>34.599999999999994</v>
      </c>
      <c r="I13">
        <v>80.5</v>
      </c>
      <c r="J13">
        <v>46.400000000000006</v>
      </c>
      <c r="T13" s="107">
        <v>79.7</v>
      </c>
      <c r="U13" s="108">
        <v>31</v>
      </c>
      <c r="V13" s="107">
        <v>34.599999999999994</v>
      </c>
      <c r="W13" s="108">
        <v>17</v>
      </c>
      <c r="X13" s="107">
        <v>80.5</v>
      </c>
      <c r="Y13" s="108">
        <v>21</v>
      </c>
      <c r="Z13" s="107">
        <v>46.400000000000006</v>
      </c>
      <c r="AA13" s="108">
        <v>19</v>
      </c>
    </row>
    <row r="14" spans="1:27" x14ac:dyDescent="0.25">
      <c r="D14">
        <v>31</v>
      </c>
      <c r="E14">
        <v>25</v>
      </c>
      <c r="I14">
        <v>80</v>
      </c>
      <c r="J14">
        <v>64.900000000000006</v>
      </c>
      <c r="T14" s="107"/>
      <c r="U14" s="108"/>
      <c r="V14" s="107"/>
      <c r="W14" s="108"/>
      <c r="X14" s="107">
        <v>80</v>
      </c>
      <c r="Y14" s="108">
        <v>31</v>
      </c>
      <c r="Z14" s="107">
        <v>64.900000000000006</v>
      </c>
      <c r="AA14" s="108">
        <v>25</v>
      </c>
    </row>
    <row r="15" spans="1:27" x14ac:dyDescent="0.25">
      <c r="B15" s="53"/>
      <c r="C15" s="53"/>
      <c r="D15" s="53">
        <v>13</v>
      </c>
      <c r="E15" s="53">
        <v>26</v>
      </c>
      <c r="G15" s="53"/>
      <c r="H15" s="53"/>
      <c r="I15" s="53">
        <v>41</v>
      </c>
      <c r="J15" s="53">
        <v>59.4</v>
      </c>
      <c r="K15" s="7"/>
      <c r="T15" s="52"/>
      <c r="U15" s="56"/>
      <c r="V15" s="52"/>
      <c r="W15" s="56"/>
      <c r="X15" s="52">
        <v>41</v>
      </c>
      <c r="Y15" s="56">
        <v>13</v>
      </c>
      <c r="Z15" s="52">
        <v>59.4</v>
      </c>
      <c r="AA15" s="56">
        <v>26</v>
      </c>
    </row>
    <row r="16" spans="1:27" x14ac:dyDescent="0.25">
      <c r="A16" t="s">
        <v>6</v>
      </c>
      <c r="B16">
        <f>AVERAGE(B6:B15)</f>
        <v>22.875</v>
      </c>
      <c r="C16">
        <f>AVERAGE(C6:C15)</f>
        <v>33.75</v>
      </c>
      <c r="D16">
        <f>AVERAGE(D6:D15)</f>
        <v>21.9</v>
      </c>
      <c r="E16">
        <f>AVERAGE(E6:E15)</f>
        <v>15.8</v>
      </c>
      <c r="G16">
        <f>AVERAGE(G6:G15)</f>
        <v>45.987499999999997</v>
      </c>
      <c r="H16">
        <f>AVERAGE(H6:H15)</f>
        <v>60.262500000000003</v>
      </c>
      <c r="I16">
        <f>AVERAGE(I6:I15)</f>
        <v>50.559999999999995</v>
      </c>
      <c r="J16">
        <f>AVERAGE(J6:J15)</f>
        <v>40.129999999999995</v>
      </c>
    </row>
    <row r="17" spans="1:11" x14ac:dyDescent="0.25">
      <c r="A17" t="s">
        <v>7</v>
      </c>
      <c r="B17" s="53">
        <f>VAR(B6:B15)</f>
        <v>134.125</v>
      </c>
      <c r="C17" s="53">
        <f>VAR(C6:C15)</f>
        <v>164.78571428571428</v>
      </c>
      <c r="D17" s="53">
        <f>VAR(D6:D15)</f>
        <v>105.65555555555551</v>
      </c>
      <c r="E17" s="53">
        <f>VAR(E6:E15)</f>
        <v>44.844444444444434</v>
      </c>
      <c r="G17" s="53">
        <f>VAR(G6:G15)</f>
        <v>1159.0783928571432</v>
      </c>
      <c r="H17" s="53">
        <f>VAR(H6:H15)</f>
        <v>324.43410714285659</v>
      </c>
      <c r="I17" s="53">
        <f>VAR(I6:I15)</f>
        <v>449.52044444444499</v>
      </c>
      <c r="J17" s="53">
        <f>VAR(J6:J15)</f>
        <v>189.25344444444514</v>
      </c>
      <c r="K17" s="7"/>
    </row>
  </sheetData>
  <mergeCells count="4">
    <mergeCell ref="T5:U5"/>
    <mergeCell ref="V5:W5"/>
    <mergeCell ref="X5:Y5"/>
    <mergeCell ref="Z5:AA5"/>
  </mergeCells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6"/>
  <dimension ref="A1:AB87"/>
  <sheetViews>
    <sheetView zoomScaleNormal="100" workbookViewId="0"/>
  </sheetViews>
  <sheetFormatPr defaultRowHeight="15" x14ac:dyDescent="0.25"/>
  <cols>
    <col min="10" max="10" width="18.42578125" customWidth="1"/>
    <col min="15" max="15" width="13" customWidth="1"/>
    <col min="18" max="18" width="17.7109375" customWidth="1"/>
    <col min="19" max="19" width="11.7109375" customWidth="1"/>
    <col min="20" max="20" width="13.140625" customWidth="1"/>
    <col min="21" max="22" width="11.5703125" customWidth="1"/>
    <col min="23" max="23" width="12.7109375" customWidth="1"/>
    <col min="24" max="24" width="8.5703125" customWidth="1"/>
    <col min="28" max="28" width="10.28515625" customWidth="1"/>
  </cols>
  <sheetData>
    <row r="1" spans="1:28" x14ac:dyDescent="0.25">
      <c r="A1" s="1" t="s">
        <v>403</v>
      </c>
    </row>
    <row r="3" spans="1:28" x14ac:dyDescent="0.25">
      <c r="A3" s="138" t="s">
        <v>71</v>
      </c>
      <c r="B3" s="138" t="s">
        <v>4</v>
      </c>
      <c r="C3" s="138" t="s">
        <v>118</v>
      </c>
      <c r="D3" s="138" t="s">
        <v>119</v>
      </c>
      <c r="E3" s="138" t="s">
        <v>134</v>
      </c>
      <c r="F3" s="138" t="s">
        <v>349</v>
      </c>
      <c r="G3" s="138" t="s">
        <v>350</v>
      </c>
      <c r="H3" s="138" t="s">
        <v>351</v>
      </c>
      <c r="J3" s="141" t="s">
        <v>371</v>
      </c>
      <c r="K3" s="16"/>
      <c r="L3" s="16"/>
      <c r="M3" s="16"/>
      <c r="N3" s="16"/>
      <c r="O3" s="16"/>
      <c r="R3" t="s">
        <v>365</v>
      </c>
      <c r="Y3" s="1" t="s">
        <v>377</v>
      </c>
    </row>
    <row r="4" spans="1:28" ht="15.75" thickBot="1" x14ac:dyDescent="0.3">
      <c r="A4">
        <v>12</v>
      </c>
      <c r="B4">
        <v>17.5</v>
      </c>
      <c r="C4">
        <v>1</v>
      </c>
      <c r="D4">
        <v>0</v>
      </c>
      <c r="E4">
        <v>0</v>
      </c>
      <c r="F4">
        <f t="shared" ref="F4:F39" si="0">$B4*C4</f>
        <v>17.5</v>
      </c>
      <c r="G4">
        <f t="shared" ref="G4:G39" si="1">$B4*D4</f>
        <v>0</v>
      </c>
      <c r="H4">
        <f t="shared" ref="H4:H39" si="2">$B4*E4</f>
        <v>0</v>
      </c>
    </row>
    <row r="5" spans="1:28" ht="15.75" thickBot="1" x14ac:dyDescent="0.3">
      <c r="A5">
        <v>39</v>
      </c>
      <c r="B5">
        <v>104.60000000000001</v>
      </c>
      <c r="C5">
        <v>1</v>
      </c>
      <c r="D5">
        <v>0</v>
      </c>
      <c r="E5">
        <v>0</v>
      </c>
      <c r="F5">
        <f t="shared" si="0"/>
        <v>104.60000000000001</v>
      </c>
      <c r="G5">
        <f t="shared" si="1"/>
        <v>0</v>
      </c>
      <c r="H5">
        <f t="shared" si="2"/>
        <v>0</v>
      </c>
      <c r="J5" t="s">
        <v>372</v>
      </c>
      <c r="R5" s="18" t="s">
        <v>81</v>
      </c>
      <c r="S5" s="18"/>
      <c r="Z5" s="86" t="s">
        <v>138</v>
      </c>
      <c r="AA5" s="86" t="s">
        <v>139</v>
      </c>
      <c r="AB5" s="86" t="s">
        <v>140</v>
      </c>
    </row>
    <row r="6" spans="1:28" x14ac:dyDescent="0.25">
      <c r="A6">
        <v>36</v>
      </c>
      <c r="B6">
        <v>64.7</v>
      </c>
      <c r="C6">
        <v>1</v>
      </c>
      <c r="D6">
        <v>0</v>
      </c>
      <c r="E6">
        <v>0</v>
      </c>
      <c r="F6">
        <f t="shared" si="0"/>
        <v>64.7</v>
      </c>
      <c r="G6">
        <f t="shared" si="1"/>
        <v>0</v>
      </c>
      <c r="H6">
        <f t="shared" si="2"/>
        <v>0</v>
      </c>
      <c r="J6" s="87"/>
      <c r="K6" s="87" t="s">
        <v>37</v>
      </c>
      <c r="L6" s="87" t="s">
        <v>76</v>
      </c>
      <c r="M6" s="87" t="s">
        <v>78</v>
      </c>
      <c r="N6" s="87" t="s">
        <v>68</v>
      </c>
      <c r="O6" s="87" t="s">
        <v>87</v>
      </c>
      <c r="R6" s="16" t="s">
        <v>82</v>
      </c>
      <c r="S6" s="16">
        <v>0.81879231765840588</v>
      </c>
      <c r="Y6" s="48" t="s">
        <v>141</v>
      </c>
      <c r="Z6" s="61">
        <f>S7</f>
        <v>0.67042085945642382</v>
      </c>
      <c r="AA6" s="117">
        <f>S23</f>
        <v>0.63921615672529453</v>
      </c>
      <c r="AB6" s="57">
        <f>Z6-AA6</f>
        <v>3.1204702731129297E-2</v>
      </c>
    </row>
    <row r="7" spans="1:28" x14ac:dyDescent="0.25">
      <c r="A7">
        <v>17</v>
      </c>
      <c r="B7">
        <v>47</v>
      </c>
      <c r="C7">
        <v>1</v>
      </c>
      <c r="D7">
        <v>0</v>
      </c>
      <c r="E7">
        <v>0</v>
      </c>
      <c r="F7">
        <f t="shared" si="0"/>
        <v>47</v>
      </c>
      <c r="G7">
        <f t="shared" si="1"/>
        <v>0</v>
      </c>
      <c r="H7">
        <f t="shared" si="2"/>
        <v>0</v>
      </c>
      <c r="J7" s="16" t="s">
        <v>77</v>
      </c>
      <c r="K7" s="16">
        <v>4</v>
      </c>
      <c r="L7" s="16">
        <v>3133.3665762499804</v>
      </c>
      <c r="M7" s="16">
        <v>783.34164406249511</v>
      </c>
      <c r="N7" s="16">
        <v>13.731006271389626</v>
      </c>
      <c r="O7" s="16">
        <v>1.4964731310688181E-6</v>
      </c>
      <c r="R7" s="16" t="s">
        <v>80</v>
      </c>
      <c r="S7" s="16">
        <v>0.67042085945642382</v>
      </c>
      <c r="Y7" t="s">
        <v>137</v>
      </c>
      <c r="Z7" s="52">
        <f>S15</f>
        <v>28</v>
      </c>
      <c r="AA7" s="53">
        <f>S31</f>
        <v>31</v>
      </c>
      <c r="AB7" s="58">
        <f>AA7-Z7</f>
        <v>3</v>
      </c>
    </row>
    <row r="8" spans="1:28" x14ac:dyDescent="0.25">
      <c r="A8">
        <v>25</v>
      </c>
      <c r="B8">
        <v>22</v>
      </c>
      <c r="C8">
        <v>1</v>
      </c>
      <c r="D8">
        <v>0</v>
      </c>
      <c r="E8">
        <v>0</v>
      </c>
      <c r="F8">
        <f t="shared" si="0"/>
        <v>22</v>
      </c>
      <c r="G8">
        <f t="shared" si="1"/>
        <v>0</v>
      </c>
      <c r="H8">
        <f t="shared" si="2"/>
        <v>0</v>
      </c>
      <c r="J8" s="16" t="s">
        <v>85</v>
      </c>
      <c r="K8" s="16">
        <v>31</v>
      </c>
      <c r="L8" s="16">
        <v>1768.5223126389094</v>
      </c>
      <c r="M8" s="16">
        <v>57.049106859319657</v>
      </c>
      <c r="N8" s="16"/>
      <c r="O8" s="16"/>
      <c r="R8" s="16" t="s">
        <v>83</v>
      </c>
      <c r="S8" s="16">
        <v>0.58802607432052978</v>
      </c>
      <c r="Y8" t="s">
        <v>68</v>
      </c>
      <c r="AB8" s="78">
        <f>AB6*Z7/(AB7*(1-Z6))</f>
        <v>0.88368423947236796</v>
      </c>
    </row>
    <row r="9" spans="1:28" ht="15.75" thickBot="1" x14ac:dyDescent="0.3">
      <c r="A9">
        <v>15</v>
      </c>
      <c r="B9">
        <v>12.4</v>
      </c>
      <c r="C9">
        <v>1</v>
      </c>
      <c r="D9">
        <v>0</v>
      </c>
      <c r="E9">
        <v>0</v>
      </c>
      <c r="F9">
        <f t="shared" si="0"/>
        <v>12.4</v>
      </c>
      <c r="G9">
        <f t="shared" si="1"/>
        <v>0</v>
      </c>
      <c r="H9">
        <f t="shared" si="2"/>
        <v>0</v>
      </c>
      <c r="J9" s="17" t="s">
        <v>1</v>
      </c>
      <c r="K9" s="17">
        <v>35</v>
      </c>
      <c r="L9" s="17">
        <v>4901.8888888888896</v>
      </c>
      <c r="M9" s="17"/>
      <c r="N9" s="17"/>
      <c r="O9" s="17"/>
      <c r="R9" s="16" t="s">
        <v>9</v>
      </c>
      <c r="S9" s="16">
        <v>7.5959583403659607</v>
      </c>
      <c r="Y9" s="22" t="s">
        <v>28</v>
      </c>
      <c r="AB9" s="78">
        <v>0.05</v>
      </c>
    </row>
    <row r="10" spans="1:28" ht="15.75" thickBot="1" x14ac:dyDescent="0.3">
      <c r="A10">
        <v>8</v>
      </c>
      <c r="B10">
        <v>20</v>
      </c>
      <c r="C10">
        <v>1</v>
      </c>
      <c r="D10">
        <v>0</v>
      </c>
      <c r="E10">
        <v>0</v>
      </c>
      <c r="F10">
        <f t="shared" si="0"/>
        <v>20</v>
      </c>
      <c r="G10">
        <f t="shared" si="1"/>
        <v>0</v>
      </c>
      <c r="H10">
        <f t="shared" si="2"/>
        <v>0</v>
      </c>
      <c r="R10" s="17" t="s">
        <v>49</v>
      </c>
      <c r="S10" s="17">
        <v>36</v>
      </c>
      <c r="Y10" s="48" t="s">
        <v>43</v>
      </c>
      <c r="AB10" s="78">
        <f>FDIST(AB8,AB7,Z7)</f>
        <v>0.46150436492324942</v>
      </c>
    </row>
    <row r="11" spans="1:28" ht="15.75" thickBot="1" x14ac:dyDescent="0.3">
      <c r="A11">
        <v>31</v>
      </c>
      <c r="B11">
        <v>79.7</v>
      </c>
      <c r="C11">
        <v>1</v>
      </c>
      <c r="D11">
        <v>0</v>
      </c>
      <c r="E11">
        <v>0</v>
      </c>
      <c r="F11">
        <f t="shared" si="0"/>
        <v>79.7</v>
      </c>
      <c r="G11">
        <f t="shared" si="1"/>
        <v>0</v>
      </c>
      <c r="H11">
        <f t="shared" si="2"/>
        <v>0</v>
      </c>
      <c r="J11" t="s">
        <v>368</v>
      </c>
      <c r="Y11" s="49" t="s">
        <v>111</v>
      </c>
      <c r="AB11" s="55" t="str">
        <f>IF(AB10&lt;AB9,"yes","no")</f>
        <v>no</v>
      </c>
    </row>
    <row r="12" spans="1:28" ht="15.75" thickBot="1" x14ac:dyDescent="0.3">
      <c r="A12">
        <v>45</v>
      </c>
      <c r="B12">
        <v>70.8</v>
      </c>
      <c r="C12">
        <v>0</v>
      </c>
      <c r="D12">
        <v>1</v>
      </c>
      <c r="E12">
        <v>0</v>
      </c>
      <c r="F12">
        <f t="shared" si="0"/>
        <v>0</v>
      </c>
      <c r="G12">
        <f t="shared" si="1"/>
        <v>70.8</v>
      </c>
      <c r="H12">
        <f t="shared" si="2"/>
        <v>0</v>
      </c>
      <c r="J12" s="87"/>
      <c r="K12" s="87" t="s">
        <v>37</v>
      </c>
      <c r="L12" s="87" t="s">
        <v>76</v>
      </c>
      <c r="M12" s="87" t="s">
        <v>78</v>
      </c>
      <c r="N12" s="87" t="s">
        <v>68</v>
      </c>
      <c r="O12" s="87" t="s">
        <v>87</v>
      </c>
      <c r="R12" t="s">
        <v>84</v>
      </c>
    </row>
    <row r="13" spans="1:28" x14ac:dyDescent="0.25">
      <c r="A13">
        <v>37</v>
      </c>
      <c r="B13">
        <v>45.9</v>
      </c>
      <c r="C13">
        <v>0</v>
      </c>
      <c r="D13">
        <v>1</v>
      </c>
      <c r="E13">
        <v>0</v>
      </c>
      <c r="F13">
        <f t="shared" si="0"/>
        <v>0</v>
      </c>
      <c r="G13">
        <f t="shared" si="1"/>
        <v>45.9</v>
      </c>
      <c r="H13">
        <f t="shared" si="2"/>
        <v>0</v>
      </c>
      <c r="J13" s="16" t="s">
        <v>77</v>
      </c>
      <c r="K13" s="16">
        <v>3</v>
      </c>
      <c r="L13" s="16">
        <v>1897.0572222222254</v>
      </c>
      <c r="M13" s="16">
        <v>632.35240740740846</v>
      </c>
      <c r="N13" s="16">
        <v>1.2542356704784683</v>
      </c>
      <c r="O13" s="16">
        <v>0.30655018520822414</v>
      </c>
      <c r="R13" s="87"/>
      <c r="S13" s="87" t="s">
        <v>37</v>
      </c>
      <c r="T13" s="87" t="s">
        <v>76</v>
      </c>
      <c r="U13" s="87" t="s">
        <v>78</v>
      </c>
      <c r="V13" s="87" t="s">
        <v>68</v>
      </c>
      <c r="W13" s="87" t="s">
        <v>87</v>
      </c>
      <c r="Y13" s="48" t="s">
        <v>411</v>
      </c>
      <c r="AB13" s="148" t="e">
        <f ca="1">RSquareTest(B4:H39,B4:E39,A4:A39)</f>
        <v>#NAME?</v>
      </c>
    </row>
    <row r="14" spans="1:28" x14ac:dyDescent="0.25">
      <c r="A14">
        <v>13</v>
      </c>
      <c r="B14">
        <v>47.5</v>
      </c>
      <c r="C14">
        <v>0</v>
      </c>
      <c r="D14">
        <v>1</v>
      </c>
      <c r="E14">
        <v>0</v>
      </c>
      <c r="F14">
        <f t="shared" si="0"/>
        <v>0</v>
      </c>
      <c r="G14">
        <f t="shared" si="1"/>
        <v>47.5</v>
      </c>
      <c r="H14">
        <f t="shared" si="2"/>
        <v>0</v>
      </c>
      <c r="J14" s="16" t="s">
        <v>85</v>
      </c>
      <c r="K14" s="16">
        <v>32</v>
      </c>
      <c r="L14" s="16">
        <v>16133.552500000002</v>
      </c>
      <c r="M14" s="16">
        <v>504.17351562500005</v>
      </c>
      <c r="N14" s="16"/>
      <c r="O14" s="16"/>
      <c r="R14" s="16" t="s">
        <v>77</v>
      </c>
      <c r="S14" s="16">
        <v>7</v>
      </c>
      <c r="T14" s="16">
        <v>3286.3285618487839</v>
      </c>
      <c r="U14" s="16">
        <v>469.47550883554055</v>
      </c>
      <c r="V14" s="16">
        <v>8.1366904270785607</v>
      </c>
      <c r="W14" s="16">
        <v>2.1072042596181117E-5</v>
      </c>
    </row>
    <row r="15" spans="1:28" ht="15.75" thickBot="1" x14ac:dyDescent="0.3">
      <c r="A15">
        <v>50</v>
      </c>
      <c r="B15">
        <v>77.8</v>
      </c>
      <c r="C15">
        <v>0</v>
      </c>
      <c r="D15">
        <v>1</v>
      </c>
      <c r="E15">
        <v>0</v>
      </c>
      <c r="F15">
        <f t="shared" si="0"/>
        <v>0</v>
      </c>
      <c r="G15">
        <f t="shared" si="1"/>
        <v>77.8</v>
      </c>
      <c r="H15">
        <f t="shared" si="2"/>
        <v>0</v>
      </c>
      <c r="J15" s="17" t="s">
        <v>1</v>
      </c>
      <c r="K15" s="17">
        <v>35</v>
      </c>
      <c r="L15" s="17">
        <v>18030.609722222227</v>
      </c>
      <c r="M15" s="17"/>
      <c r="N15" s="17"/>
      <c r="O15" s="17"/>
      <c r="R15" s="16" t="s">
        <v>85</v>
      </c>
      <c r="S15" s="16">
        <v>28</v>
      </c>
      <c r="T15" s="16">
        <v>1615.5603270401057</v>
      </c>
      <c r="U15" s="16">
        <v>57.6985831085752</v>
      </c>
      <c r="V15" s="16"/>
      <c r="W15" s="16"/>
    </row>
    <row r="16" spans="1:28" ht="15.75" thickBot="1" x14ac:dyDescent="0.3">
      <c r="A16">
        <v>35</v>
      </c>
      <c r="B16">
        <v>70.900000000000006</v>
      </c>
      <c r="C16">
        <v>0</v>
      </c>
      <c r="D16">
        <v>1</v>
      </c>
      <c r="E16">
        <v>0</v>
      </c>
      <c r="F16">
        <f t="shared" si="0"/>
        <v>0</v>
      </c>
      <c r="G16">
        <f t="shared" si="1"/>
        <v>70.900000000000006</v>
      </c>
      <c r="H16">
        <f t="shared" si="2"/>
        <v>0</v>
      </c>
      <c r="R16" s="17" t="s">
        <v>1</v>
      </c>
      <c r="S16" s="17">
        <v>35</v>
      </c>
      <c r="T16" s="17">
        <v>4901.8888888888896</v>
      </c>
      <c r="U16" s="17"/>
      <c r="V16" s="17"/>
      <c r="W16" s="17"/>
    </row>
    <row r="17" spans="1:23" ht="15.75" thickBot="1" x14ac:dyDescent="0.3">
      <c r="A17">
        <v>40</v>
      </c>
      <c r="B17">
        <v>84.8</v>
      </c>
      <c r="C17">
        <v>0</v>
      </c>
      <c r="D17">
        <v>1</v>
      </c>
      <c r="E17">
        <v>0</v>
      </c>
      <c r="F17">
        <f t="shared" si="0"/>
        <v>0</v>
      </c>
      <c r="G17">
        <f t="shared" si="1"/>
        <v>84.8</v>
      </c>
      <c r="H17">
        <f t="shared" si="2"/>
        <v>0</v>
      </c>
      <c r="J17" t="s">
        <v>369</v>
      </c>
    </row>
    <row r="18" spans="1:23" x14ac:dyDescent="0.25">
      <c r="A18">
        <v>33</v>
      </c>
      <c r="B18">
        <v>49.8</v>
      </c>
      <c r="C18">
        <v>0</v>
      </c>
      <c r="D18">
        <v>1</v>
      </c>
      <c r="E18">
        <v>0</v>
      </c>
      <c r="F18">
        <f t="shared" si="0"/>
        <v>0</v>
      </c>
      <c r="G18">
        <f t="shared" si="1"/>
        <v>49.8</v>
      </c>
      <c r="H18">
        <f t="shared" si="2"/>
        <v>0</v>
      </c>
      <c r="J18" s="87"/>
      <c r="K18" s="87" t="s">
        <v>37</v>
      </c>
      <c r="L18" s="87" t="s">
        <v>76</v>
      </c>
      <c r="M18" s="87" t="s">
        <v>78</v>
      </c>
      <c r="N18" s="87" t="s">
        <v>68</v>
      </c>
      <c r="O18" s="87" t="s">
        <v>87</v>
      </c>
    </row>
    <row r="19" spans="1:23" x14ac:dyDescent="0.25">
      <c r="A19">
        <v>17</v>
      </c>
      <c r="B19">
        <v>34.599999999999994</v>
      </c>
      <c r="C19">
        <v>0</v>
      </c>
      <c r="D19">
        <v>1</v>
      </c>
      <c r="E19">
        <v>0</v>
      </c>
      <c r="F19">
        <f t="shared" si="0"/>
        <v>0</v>
      </c>
      <c r="G19">
        <f t="shared" si="1"/>
        <v>34.599999999999994</v>
      </c>
      <c r="H19">
        <f t="shared" si="2"/>
        <v>0</v>
      </c>
      <c r="J19" s="16" t="s">
        <v>77</v>
      </c>
      <c r="K19" s="16">
        <v>3</v>
      </c>
      <c r="L19" s="16">
        <v>1455.0138888888901</v>
      </c>
      <c r="M19" s="16">
        <v>485.00462962963002</v>
      </c>
      <c r="N19" s="16">
        <v>4.5026721735334654</v>
      </c>
      <c r="O19" s="16">
        <v>9.5805875705777723E-3</v>
      </c>
      <c r="R19" t="s">
        <v>379</v>
      </c>
    </row>
    <row r="20" spans="1:23" ht="15.75" thickBot="1" x14ac:dyDescent="0.3">
      <c r="A20">
        <v>20</v>
      </c>
      <c r="B20">
        <v>71.400000000000006</v>
      </c>
      <c r="C20">
        <v>0</v>
      </c>
      <c r="D20">
        <v>0</v>
      </c>
      <c r="E20">
        <v>1</v>
      </c>
      <c r="F20">
        <f t="shared" si="0"/>
        <v>0</v>
      </c>
      <c r="G20">
        <f t="shared" si="1"/>
        <v>0</v>
      </c>
      <c r="H20">
        <f t="shared" si="2"/>
        <v>71.400000000000006</v>
      </c>
      <c r="J20" s="16" t="s">
        <v>85</v>
      </c>
      <c r="K20" s="16">
        <v>32</v>
      </c>
      <c r="L20" s="16">
        <v>3446.8749999999995</v>
      </c>
      <c r="M20" s="16">
        <v>107.71484374999999</v>
      </c>
      <c r="N20" s="16"/>
      <c r="O20" s="16"/>
    </row>
    <row r="21" spans="1:23" ht="15.75" thickBot="1" x14ac:dyDescent="0.3">
      <c r="A21">
        <v>42</v>
      </c>
      <c r="B21">
        <v>55</v>
      </c>
      <c r="C21">
        <v>0</v>
      </c>
      <c r="D21">
        <v>0</v>
      </c>
      <c r="E21">
        <v>1</v>
      </c>
      <c r="F21">
        <f t="shared" si="0"/>
        <v>0</v>
      </c>
      <c r="G21">
        <f t="shared" si="1"/>
        <v>0</v>
      </c>
      <c r="H21">
        <f t="shared" si="2"/>
        <v>55</v>
      </c>
      <c r="J21" s="17" t="s">
        <v>1</v>
      </c>
      <c r="K21" s="17">
        <v>35</v>
      </c>
      <c r="L21" s="17">
        <v>4901.8888888888896</v>
      </c>
      <c r="M21" s="17"/>
      <c r="N21" s="17"/>
      <c r="O21" s="17"/>
      <c r="R21" s="18" t="s">
        <v>81</v>
      </c>
      <c r="S21" s="18"/>
    </row>
    <row r="22" spans="1:23" x14ac:dyDescent="0.25">
      <c r="A22">
        <v>31</v>
      </c>
      <c r="B22">
        <v>54</v>
      </c>
      <c r="C22">
        <v>0</v>
      </c>
      <c r="D22">
        <v>0</v>
      </c>
      <c r="E22">
        <v>1</v>
      </c>
      <c r="F22">
        <f t="shared" si="0"/>
        <v>0</v>
      </c>
      <c r="G22">
        <f t="shared" si="1"/>
        <v>0</v>
      </c>
      <c r="H22">
        <f t="shared" si="2"/>
        <v>54</v>
      </c>
      <c r="R22" s="16" t="s">
        <v>82</v>
      </c>
      <c r="S22" s="16">
        <v>0.79950994785887097</v>
      </c>
    </row>
    <row r="23" spans="1:23" ht="15.75" thickBot="1" x14ac:dyDescent="0.3">
      <c r="A23">
        <v>24</v>
      </c>
      <c r="B23">
        <v>27.9</v>
      </c>
      <c r="C23">
        <v>0</v>
      </c>
      <c r="D23">
        <v>0</v>
      </c>
      <c r="E23">
        <v>1</v>
      </c>
      <c r="F23">
        <f t="shared" si="0"/>
        <v>0</v>
      </c>
      <c r="G23">
        <f t="shared" si="1"/>
        <v>0</v>
      </c>
      <c r="H23">
        <f t="shared" si="2"/>
        <v>27.9</v>
      </c>
      <c r="J23" t="s">
        <v>370</v>
      </c>
      <c r="R23" s="16" t="s">
        <v>80</v>
      </c>
      <c r="S23" s="16">
        <v>0.63921615672529453</v>
      </c>
    </row>
    <row r="24" spans="1:23" x14ac:dyDescent="0.25">
      <c r="A24">
        <v>15</v>
      </c>
      <c r="B24">
        <v>40.599999999999994</v>
      </c>
      <c r="C24">
        <v>0</v>
      </c>
      <c r="D24">
        <v>0</v>
      </c>
      <c r="E24">
        <v>1</v>
      </c>
      <c r="F24">
        <f t="shared" si="0"/>
        <v>0</v>
      </c>
      <c r="G24">
        <f t="shared" si="1"/>
        <v>0</v>
      </c>
      <c r="H24">
        <f t="shared" si="2"/>
        <v>40.599999999999994</v>
      </c>
      <c r="J24" s="87"/>
      <c r="K24" s="87" t="s">
        <v>37</v>
      </c>
      <c r="L24" s="87" t="s">
        <v>76</v>
      </c>
      <c r="M24" s="87" t="s">
        <v>78</v>
      </c>
      <c r="N24" s="87" t="s">
        <v>68</v>
      </c>
      <c r="O24" s="87" t="s">
        <v>87</v>
      </c>
      <c r="R24" s="16" t="s">
        <v>83</v>
      </c>
      <c r="S24" s="16">
        <v>0.5926634027543648</v>
      </c>
    </row>
    <row r="25" spans="1:23" x14ac:dyDescent="0.25">
      <c r="A25">
        <v>13</v>
      </c>
      <c r="B25">
        <v>33</v>
      </c>
      <c r="C25">
        <v>0</v>
      </c>
      <c r="D25">
        <v>0</v>
      </c>
      <c r="E25">
        <v>1</v>
      </c>
      <c r="F25">
        <f t="shared" si="0"/>
        <v>0</v>
      </c>
      <c r="G25">
        <f t="shared" si="1"/>
        <v>0</v>
      </c>
      <c r="H25">
        <f t="shared" si="2"/>
        <v>33</v>
      </c>
      <c r="J25" s="16" t="s">
        <v>77</v>
      </c>
      <c r="K25" s="16">
        <v>1</v>
      </c>
      <c r="L25" s="16">
        <v>2562.3366929048839</v>
      </c>
      <c r="M25" s="16">
        <v>2562.3366929048839</v>
      </c>
      <c r="N25" s="16">
        <v>37.237659287239794</v>
      </c>
      <c r="O25" s="16">
        <v>6.3463662804716112E-7</v>
      </c>
      <c r="R25" s="16" t="s">
        <v>9</v>
      </c>
      <c r="S25" s="16">
        <v>7.5530859163205379</v>
      </c>
    </row>
    <row r="26" spans="1:23" ht="15.75" thickBot="1" x14ac:dyDescent="0.3">
      <c r="A26">
        <v>9</v>
      </c>
      <c r="B26">
        <v>22.2</v>
      </c>
      <c r="C26">
        <v>0</v>
      </c>
      <c r="D26">
        <v>0</v>
      </c>
      <c r="E26">
        <v>1</v>
      </c>
      <c r="F26">
        <f t="shared" si="0"/>
        <v>0</v>
      </c>
      <c r="G26">
        <f t="shared" si="1"/>
        <v>0</v>
      </c>
      <c r="H26">
        <f t="shared" si="2"/>
        <v>22.2</v>
      </c>
      <c r="J26" s="16" t="s">
        <v>85</v>
      </c>
      <c r="K26" s="16">
        <v>34</v>
      </c>
      <c r="L26" s="16">
        <v>2339.5521959840057</v>
      </c>
      <c r="M26" s="16">
        <v>68.810358705411929</v>
      </c>
      <c r="N26" s="16"/>
      <c r="O26" s="16"/>
      <c r="R26" s="17" t="s">
        <v>49</v>
      </c>
      <c r="S26" s="17">
        <v>36</v>
      </c>
    </row>
    <row r="27" spans="1:23" ht="15.75" thickBot="1" x14ac:dyDescent="0.3">
      <c r="A27">
        <v>21</v>
      </c>
      <c r="B27">
        <v>80.5</v>
      </c>
      <c r="C27">
        <v>0</v>
      </c>
      <c r="D27">
        <v>0</v>
      </c>
      <c r="E27">
        <v>1</v>
      </c>
      <c r="F27">
        <f t="shared" si="0"/>
        <v>0</v>
      </c>
      <c r="G27">
        <f t="shared" si="1"/>
        <v>0</v>
      </c>
      <c r="H27">
        <f t="shared" si="2"/>
        <v>80.5</v>
      </c>
      <c r="J27" s="17" t="s">
        <v>1</v>
      </c>
      <c r="K27" s="17">
        <v>35</v>
      </c>
      <c r="L27" s="17">
        <v>4901.8888888888896</v>
      </c>
      <c r="M27" s="17"/>
      <c r="N27" s="17"/>
      <c r="O27" s="17"/>
    </row>
    <row r="28" spans="1:23" ht="15.75" thickBot="1" x14ac:dyDescent="0.3">
      <c r="A28">
        <v>31</v>
      </c>
      <c r="B28">
        <v>80</v>
      </c>
      <c r="C28">
        <v>0</v>
      </c>
      <c r="D28">
        <v>0</v>
      </c>
      <c r="E28">
        <v>1</v>
      </c>
      <c r="F28">
        <f t="shared" si="0"/>
        <v>0</v>
      </c>
      <c r="G28">
        <f t="shared" si="1"/>
        <v>0</v>
      </c>
      <c r="H28">
        <f t="shared" si="2"/>
        <v>80</v>
      </c>
      <c r="R28" t="s">
        <v>84</v>
      </c>
    </row>
    <row r="29" spans="1:23" x14ac:dyDescent="0.25">
      <c r="A29">
        <v>13</v>
      </c>
      <c r="B29">
        <v>41</v>
      </c>
      <c r="C29">
        <v>0</v>
      </c>
      <c r="D29">
        <v>0</v>
      </c>
      <c r="E29">
        <v>1</v>
      </c>
      <c r="F29">
        <f t="shared" si="0"/>
        <v>0</v>
      </c>
      <c r="G29">
        <f t="shared" si="1"/>
        <v>0</v>
      </c>
      <c r="H29">
        <f t="shared" si="2"/>
        <v>41</v>
      </c>
      <c r="R29" s="87"/>
      <c r="S29" s="87" t="s">
        <v>37</v>
      </c>
      <c r="T29" s="87" t="s">
        <v>76</v>
      </c>
      <c r="U29" s="87" t="s">
        <v>78</v>
      </c>
      <c r="V29" s="87" t="s">
        <v>68</v>
      </c>
      <c r="W29" s="87" t="s">
        <v>87</v>
      </c>
    </row>
    <row r="30" spans="1:23" ht="15.75" thickBot="1" x14ac:dyDescent="0.3">
      <c r="A30">
        <v>12</v>
      </c>
      <c r="B30">
        <v>35</v>
      </c>
      <c r="C30">
        <v>0</v>
      </c>
      <c r="D30">
        <v>0</v>
      </c>
      <c r="E30">
        <v>0</v>
      </c>
      <c r="F30">
        <f t="shared" si="0"/>
        <v>0</v>
      </c>
      <c r="G30">
        <f t="shared" si="1"/>
        <v>0</v>
      </c>
      <c r="H30">
        <f t="shared" si="2"/>
        <v>0</v>
      </c>
      <c r="J30" t="s">
        <v>353</v>
      </c>
      <c r="R30" s="16" t="s">
        <v>77</v>
      </c>
      <c r="S30" s="16">
        <v>4</v>
      </c>
      <c r="T30" s="16">
        <v>3133.3665762499804</v>
      </c>
      <c r="U30" s="16">
        <v>783.34164406249511</v>
      </c>
      <c r="V30" s="16">
        <v>13.731006271389626</v>
      </c>
      <c r="W30" s="16">
        <v>1.4964731310688181E-6</v>
      </c>
    </row>
    <row r="31" spans="1:23" x14ac:dyDescent="0.25">
      <c r="A31">
        <v>10</v>
      </c>
      <c r="B31">
        <v>33</v>
      </c>
      <c r="C31">
        <v>0</v>
      </c>
      <c r="D31">
        <v>0</v>
      </c>
      <c r="E31">
        <v>0</v>
      </c>
      <c r="F31">
        <f t="shared" si="0"/>
        <v>0</v>
      </c>
      <c r="G31">
        <f t="shared" si="1"/>
        <v>0</v>
      </c>
      <c r="H31">
        <f t="shared" si="2"/>
        <v>0</v>
      </c>
      <c r="J31" s="87" t="s">
        <v>107</v>
      </c>
      <c r="K31" s="87" t="s">
        <v>37</v>
      </c>
      <c r="L31" s="87" t="s">
        <v>76</v>
      </c>
      <c r="M31" s="87" t="s">
        <v>78</v>
      </c>
      <c r="N31" s="87" t="s">
        <v>68</v>
      </c>
      <c r="O31" s="87" t="s">
        <v>87</v>
      </c>
      <c r="R31" s="16" t="s">
        <v>85</v>
      </c>
      <c r="S31" s="16">
        <v>31</v>
      </c>
      <c r="T31" s="16">
        <v>1768.5223126389094</v>
      </c>
      <c r="U31" s="16">
        <v>57.049106859319657</v>
      </c>
      <c r="V31" s="16"/>
      <c r="W31" s="16"/>
    </row>
    <row r="32" spans="1:23" ht="15.75" thickBot="1" x14ac:dyDescent="0.3">
      <c r="A32">
        <v>19</v>
      </c>
      <c r="B32">
        <v>34.200000000000003</v>
      </c>
      <c r="C32">
        <v>0</v>
      </c>
      <c r="D32">
        <v>0</v>
      </c>
      <c r="E32">
        <v>0</v>
      </c>
      <c r="F32">
        <f t="shared" si="0"/>
        <v>0</v>
      </c>
      <c r="G32">
        <f t="shared" si="1"/>
        <v>0</v>
      </c>
      <c r="H32">
        <f t="shared" si="2"/>
        <v>0</v>
      </c>
      <c r="J32" t="s">
        <v>361</v>
      </c>
      <c r="K32">
        <f>K7-K19</f>
        <v>1</v>
      </c>
      <c r="L32">
        <f>L7-L19</f>
        <v>1678.3526873610904</v>
      </c>
      <c r="M32" s="16">
        <f>L32/K32</f>
        <v>1678.3526873610904</v>
      </c>
      <c r="N32" s="16">
        <f>M32/M34</f>
        <v>29.419438440987815</v>
      </c>
      <c r="O32" s="16">
        <f>FDIST(N32,K32,K34)</f>
        <v>6.3670620361677781E-6</v>
      </c>
      <c r="R32" s="17" t="s">
        <v>1</v>
      </c>
      <c r="S32" s="17">
        <v>35</v>
      </c>
      <c r="T32" s="17">
        <v>4901.8888888888896</v>
      </c>
      <c r="U32" s="17"/>
      <c r="V32" s="17"/>
      <c r="W32" s="17"/>
    </row>
    <row r="33" spans="1:24" ht="15.75" thickBot="1" x14ac:dyDescent="0.3">
      <c r="A33">
        <v>18</v>
      </c>
      <c r="B33">
        <v>43.2</v>
      </c>
      <c r="C33">
        <v>0</v>
      </c>
      <c r="D33">
        <v>0</v>
      </c>
      <c r="E33">
        <v>0</v>
      </c>
      <c r="F33">
        <f t="shared" si="0"/>
        <v>0</v>
      </c>
      <c r="G33">
        <f t="shared" si="1"/>
        <v>0</v>
      </c>
      <c r="H33">
        <f t="shared" si="2"/>
        <v>0</v>
      </c>
      <c r="J33" s="16" t="s">
        <v>362</v>
      </c>
      <c r="K33" s="16">
        <f>K7-K25</f>
        <v>3</v>
      </c>
      <c r="L33" s="16">
        <f>L7-L25</f>
        <v>571.02988334509655</v>
      </c>
      <c r="M33" s="16">
        <f>L33/K33</f>
        <v>190.34329444836553</v>
      </c>
      <c r="N33" s="16">
        <f>M33/M34</f>
        <v>3.3364815845012772</v>
      </c>
      <c r="O33" s="16">
        <f>FDIST(N33,K33,K34)</f>
        <v>3.1940102263091678E-2</v>
      </c>
    </row>
    <row r="34" spans="1:24" x14ac:dyDescent="0.25">
      <c r="A34">
        <v>14</v>
      </c>
      <c r="B34">
        <v>20</v>
      </c>
      <c r="C34">
        <v>0</v>
      </c>
      <c r="D34">
        <v>0</v>
      </c>
      <c r="E34">
        <v>0</v>
      </c>
      <c r="F34">
        <f t="shared" si="0"/>
        <v>0</v>
      </c>
      <c r="G34">
        <f t="shared" si="1"/>
        <v>0</v>
      </c>
      <c r="H34">
        <f t="shared" si="2"/>
        <v>0</v>
      </c>
      <c r="J34" s="16" t="s">
        <v>85</v>
      </c>
      <c r="K34" s="16">
        <f>K8</f>
        <v>31</v>
      </c>
      <c r="L34" s="16">
        <f>L8</f>
        <v>1768.5223126389094</v>
      </c>
      <c r="M34" s="16">
        <f>L34/K34</f>
        <v>57.049106859319657</v>
      </c>
      <c r="N34" s="16"/>
      <c r="O34" s="16"/>
      <c r="R34" s="87"/>
      <c r="S34" s="87" t="s">
        <v>88</v>
      </c>
      <c r="T34" s="87" t="s">
        <v>9</v>
      </c>
      <c r="U34" s="87" t="s">
        <v>51</v>
      </c>
      <c r="V34" s="87" t="s">
        <v>62</v>
      </c>
      <c r="W34" s="87" t="s">
        <v>89</v>
      </c>
      <c r="X34" s="87" t="s">
        <v>90</v>
      </c>
    </row>
    <row r="35" spans="1:24" ht="15.75" thickBot="1" x14ac:dyDescent="0.3">
      <c r="A35">
        <v>8</v>
      </c>
      <c r="B35">
        <v>37</v>
      </c>
      <c r="C35">
        <v>0</v>
      </c>
      <c r="D35">
        <v>0</v>
      </c>
      <c r="E35">
        <v>0</v>
      </c>
      <c r="F35">
        <f t="shared" si="0"/>
        <v>0</v>
      </c>
      <c r="G35">
        <f t="shared" si="1"/>
        <v>0</v>
      </c>
      <c r="H35">
        <f t="shared" si="2"/>
        <v>0</v>
      </c>
      <c r="J35" s="17" t="s">
        <v>1</v>
      </c>
      <c r="K35" s="17">
        <f>K9</f>
        <v>35</v>
      </c>
      <c r="L35" s="17">
        <f>L9</f>
        <v>4901.8888888888896</v>
      </c>
      <c r="M35" s="17"/>
      <c r="N35" s="17"/>
      <c r="O35" s="17"/>
      <c r="R35" s="16" t="s">
        <v>86</v>
      </c>
      <c r="S35" s="16">
        <v>2.856677552882414</v>
      </c>
      <c r="T35" s="16">
        <v>3.3763043714517851</v>
      </c>
      <c r="U35" s="16">
        <v>0.8460959790938708</v>
      </c>
      <c r="V35" s="16">
        <v>0.40398325617209507</v>
      </c>
      <c r="W35" s="16">
        <v>-4.0293406118204746</v>
      </c>
      <c r="X35" s="16">
        <v>9.7426957175853026</v>
      </c>
    </row>
    <row r="36" spans="1:24" x14ac:dyDescent="0.25">
      <c r="A36">
        <v>7</v>
      </c>
      <c r="B36">
        <v>28.2</v>
      </c>
      <c r="C36">
        <v>0</v>
      </c>
      <c r="D36">
        <v>0</v>
      </c>
      <c r="E36">
        <v>0</v>
      </c>
      <c r="F36">
        <f t="shared" si="0"/>
        <v>0</v>
      </c>
      <c r="G36">
        <f t="shared" si="1"/>
        <v>0</v>
      </c>
      <c r="H36">
        <f t="shared" si="2"/>
        <v>0</v>
      </c>
      <c r="R36" s="16" t="s">
        <v>4</v>
      </c>
      <c r="S36" s="16">
        <v>0.32253482300317932</v>
      </c>
      <c r="T36" s="16">
        <v>5.946472591854892E-2</v>
      </c>
      <c r="U36" s="16">
        <v>5.4239688827451662</v>
      </c>
      <c r="V36" s="16">
        <v>6.3670620361677307E-6</v>
      </c>
      <c r="W36" s="16">
        <v>0.20125571490602179</v>
      </c>
      <c r="X36" s="16">
        <v>0.44381393110033684</v>
      </c>
    </row>
    <row r="37" spans="1:24" x14ac:dyDescent="0.25">
      <c r="A37">
        <v>19</v>
      </c>
      <c r="B37">
        <v>46.400000000000006</v>
      </c>
      <c r="C37">
        <v>0</v>
      </c>
      <c r="D37">
        <v>0</v>
      </c>
      <c r="E37">
        <v>0</v>
      </c>
      <c r="F37">
        <f t="shared" si="0"/>
        <v>0</v>
      </c>
      <c r="G37">
        <f t="shared" si="1"/>
        <v>0</v>
      </c>
      <c r="H37">
        <f t="shared" si="2"/>
        <v>0</v>
      </c>
      <c r="R37" s="16" t="s">
        <v>118</v>
      </c>
      <c r="S37" s="16">
        <v>5.1857522742588777</v>
      </c>
      <c r="T37" s="16">
        <v>3.5996349990324723</v>
      </c>
      <c r="U37" s="16">
        <v>1.4406328073965082</v>
      </c>
      <c r="V37" s="16">
        <v>0.15971307178846195</v>
      </c>
      <c r="W37" s="16">
        <v>-2.1557517083869717</v>
      </c>
      <c r="X37" s="16">
        <v>12.527256256904728</v>
      </c>
    </row>
    <row r="38" spans="1:24" ht="15.75" thickBot="1" x14ac:dyDescent="0.3">
      <c r="A38">
        <v>25</v>
      </c>
      <c r="B38">
        <v>64.900000000000006</v>
      </c>
      <c r="C38">
        <v>0</v>
      </c>
      <c r="D38">
        <v>0</v>
      </c>
      <c r="E38">
        <v>0</v>
      </c>
      <c r="F38">
        <f t="shared" si="0"/>
        <v>0</v>
      </c>
      <c r="G38">
        <f t="shared" si="1"/>
        <v>0</v>
      </c>
      <c r="H38">
        <f t="shared" si="2"/>
        <v>0</v>
      </c>
      <c r="J38" t="s">
        <v>366</v>
      </c>
      <c r="R38" s="16" t="s">
        <v>119</v>
      </c>
      <c r="S38" s="16">
        <v>11.456567675888499</v>
      </c>
      <c r="T38" s="16">
        <v>3.7774692134876644</v>
      </c>
      <c r="U38" s="16">
        <v>3.0328685763955892</v>
      </c>
      <c r="V38" s="16">
        <v>4.8651077362410929E-3</v>
      </c>
      <c r="W38" s="16">
        <v>3.7523684216319424</v>
      </c>
      <c r="X38" s="16">
        <v>19.160766930145055</v>
      </c>
    </row>
    <row r="39" spans="1:24" ht="15.75" thickBot="1" x14ac:dyDescent="0.3">
      <c r="A39" s="53">
        <v>26</v>
      </c>
      <c r="B39" s="53">
        <v>59.4</v>
      </c>
      <c r="C39" s="53">
        <v>0</v>
      </c>
      <c r="D39" s="53">
        <v>0</v>
      </c>
      <c r="E39" s="53">
        <v>0</v>
      </c>
      <c r="F39" s="53">
        <f t="shared" si="0"/>
        <v>0</v>
      </c>
      <c r="G39" s="53">
        <f t="shared" si="1"/>
        <v>0</v>
      </c>
      <c r="H39" s="53">
        <f t="shared" si="2"/>
        <v>0</v>
      </c>
      <c r="J39" s="87" t="s">
        <v>107</v>
      </c>
      <c r="K39" s="87" t="s">
        <v>37</v>
      </c>
      <c r="L39" s="87" t="s">
        <v>76</v>
      </c>
      <c r="M39" s="87" t="s">
        <v>78</v>
      </c>
      <c r="N39" s="87" t="s">
        <v>68</v>
      </c>
      <c r="O39" s="87" t="s">
        <v>87</v>
      </c>
      <c r="R39" s="17" t="s">
        <v>134</v>
      </c>
      <c r="S39" s="17">
        <v>2.7359617960768428</v>
      </c>
      <c r="T39" s="17">
        <v>3.4343107914459856</v>
      </c>
      <c r="U39" s="17">
        <v>0.79665527152971816</v>
      </c>
      <c r="V39" s="17">
        <v>0.43171050712537717</v>
      </c>
      <c r="W39" s="17">
        <v>-4.2683612421815358</v>
      </c>
      <c r="X39" s="17">
        <v>9.7402848343352204</v>
      </c>
    </row>
    <row r="40" spans="1:24" x14ac:dyDescent="0.25">
      <c r="J40" s="16" t="s">
        <v>355</v>
      </c>
      <c r="K40" s="16">
        <f>K33</f>
        <v>3</v>
      </c>
      <c r="L40" s="16">
        <f>L33</f>
        <v>571.02988334509655</v>
      </c>
      <c r="M40" s="16">
        <f>L40/K40</f>
        <v>190.34329444836553</v>
      </c>
      <c r="N40" s="16">
        <f>M40/M41</f>
        <v>3.3364815845012772</v>
      </c>
      <c r="O40" s="16">
        <f>FDIST(N40,K40,K41)</f>
        <v>3.1940102263091678E-2</v>
      </c>
    </row>
    <row r="41" spans="1:24" ht="18" x14ac:dyDescent="0.35">
      <c r="A41" t="s">
        <v>352</v>
      </c>
      <c r="B41" s="148">
        <f>DEVSQ(B4:B39)</f>
        <v>18030.609722222227</v>
      </c>
      <c r="J41" s="16" t="s">
        <v>85</v>
      </c>
      <c r="K41" s="16">
        <f>K34</f>
        <v>31</v>
      </c>
      <c r="L41" s="16">
        <f>L34</f>
        <v>1768.5223126389094</v>
      </c>
      <c r="M41" s="16">
        <f>L41/K41</f>
        <v>57.049106859319657</v>
      </c>
      <c r="N41" s="16"/>
      <c r="O41" s="16"/>
    </row>
    <row r="42" spans="1:24" ht="15.75" thickBot="1" x14ac:dyDescent="0.3">
      <c r="F42" s="30"/>
      <c r="J42" s="17" t="s">
        <v>357</v>
      </c>
      <c r="K42" s="17">
        <f>K40+K41</f>
        <v>34</v>
      </c>
      <c r="L42" s="17">
        <f>T32-B43^2*B41</f>
        <v>2339.5521959840053</v>
      </c>
      <c r="M42" s="17"/>
      <c r="N42" s="17"/>
      <c r="O42" s="17"/>
      <c r="R42" t="s">
        <v>358</v>
      </c>
    </row>
    <row r="43" spans="1:24" ht="18.75" thickBot="1" x14ac:dyDescent="0.4">
      <c r="A43" t="s">
        <v>354</v>
      </c>
      <c r="B43" s="148">
        <f>SLOPE(A4:A39,B4:B39)</f>
        <v>0.37697529640759825</v>
      </c>
    </row>
    <row r="44" spans="1:24" x14ac:dyDescent="0.25">
      <c r="R44" s="18" t="s">
        <v>81</v>
      </c>
      <c r="S44" s="18"/>
    </row>
    <row r="45" spans="1:24" ht="15.75" thickBot="1" x14ac:dyDescent="0.3">
      <c r="A45" s="1" t="s">
        <v>374</v>
      </c>
      <c r="J45" t="s">
        <v>373</v>
      </c>
      <c r="R45" s="16" t="s">
        <v>82</v>
      </c>
      <c r="S45" s="16">
        <v>0.32436576379192761</v>
      </c>
    </row>
    <row r="46" spans="1:24" ht="15.75" thickBot="1" x14ac:dyDescent="0.3">
      <c r="J46" s="87" t="s">
        <v>107</v>
      </c>
      <c r="K46" s="87" t="s">
        <v>37</v>
      </c>
      <c r="L46" s="87" t="s">
        <v>76</v>
      </c>
      <c r="M46" s="87" t="s">
        <v>78</v>
      </c>
      <c r="N46" s="87" t="s">
        <v>68</v>
      </c>
      <c r="O46" s="87" t="s">
        <v>87</v>
      </c>
      <c r="R46" s="16" t="s">
        <v>80</v>
      </c>
      <c r="S46" s="16">
        <v>0.10521314872032059</v>
      </c>
    </row>
    <row r="47" spans="1:24" x14ac:dyDescent="0.25">
      <c r="A47" s="87" t="s">
        <v>356</v>
      </c>
      <c r="B47" s="87" t="s">
        <v>94</v>
      </c>
      <c r="C47" s="87" t="s">
        <v>93</v>
      </c>
      <c r="D47" s="87" t="s">
        <v>380</v>
      </c>
      <c r="J47" s="16" t="s">
        <v>355</v>
      </c>
      <c r="K47" s="16">
        <f>K7-1</f>
        <v>3</v>
      </c>
      <c r="L47" s="16">
        <f>L49-L48</f>
        <v>571.02988334509587</v>
      </c>
      <c r="M47" s="16">
        <f>L47/K47</f>
        <v>190.3432944483653</v>
      </c>
      <c r="N47" s="16">
        <f>M47/M48</f>
        <v>3.3364815845012732</v>
      </c>
      <c r="O47" s="16">
        <f>FDIST(N47,K47,K48)</f>
        <v>3.1940102263091824E-2</v>
      </c>
      <c r="R47" s="16" t="s">
        <v>83</v>
      </c>
      <c r="S47" s="16">
        <v>2.1326881412850648E-2</v>
      </c>
    </row>
    <row r="48" spans="1:24" x14ac:dyDescent="0.25">
      <c r="A48" s="86" t="s">
        <v>19</v>
      </c>
      <c r="B48">
        <f>AVERAGE(A4:A11)</f>
        <v>22.875</v>
      </c>
      <c r="C48">
        <f>AVERAGE(B4:B11)</f>
        <v>45.987499999999997</v>
      </c>
      <c r="D48">
        <f>B48-$S$36*(C48-C$52)</f>
        <v>23.783025119760339</v>
      </c>
      <c r="J48" s="16" t="s">
        <v>85</v>
      </c>
      <c r="K48" s="16">
        <f>K34</f>
        <v>31</v>
      </c>
      <c r="L48" s="16">
        <f>L34</f>
        <v>1768.5223126389094</v>
      </c>
      <c r="M48" s="16">
        <f>L48/K48</f>
        <v>57.049106859319657</v>
      </c>
      <c r="N48" s="16"/>
      <c r="O48" s="16"/>
      <c r="R48" s="16" t="s">
        <v>9</v>
      </c>
      <c r="S48" s="16">
        <v>22.453808488205294</v>
      </c>
    </row>
    <row r="49" spans="1:23" ht="15.75" thickBot="1" x14ac:dyDescent="0.3">
      <c r="A49" s="86" t="s">
        <v>20</v>
      </c>
      <c r="B49">
        <f>AVERAGE(A12:A19)</f>
        <v>33.75</v>
      </c>
      <c r="C49">
        <f>AVERAGE(B12:B19)</f>
        <v>60.262500000000003</v>
      </c>
      <c r="D49">
        <f>B49-$S$36*(C49-C$52)</f>
        <v>30.053840521389954</v>
      </c>
      <c r="J49" s="17" t="s">
        <v>357</v>
      </c>
      <c r="K49" s="17">
        <f>K47+K48</f>
        <v>34</v>
      </c>
      <c r="L49" s="17">
        <f>L9-B43^2*B41</f>
        <v>2339.5521959840053</v>
      </c>
      <c r="M49" s="17"/>
      <c r="N49" s="17"/>
      <c r="O49" s="17"/>
      <c r="R49" s="17" t="s">
        <v>49</v>
      </c>
      <c r="S49" s="17">
        <v>36</v>
      </c>
    </row>
    <row r="50" spans="1:23" x14ac:dyDescent="0.25">
      <c r="A50" s="86" t="s">
        <v>26</v>
      </c>
      <c r="B50">
        <f>AVERAGE(A20:A29)</f>
        <v>21.9</v>
      </c>
      <c r="C50">
        <f>AVERAGE(B20:B29)</f>
        <v>50.559999999999995</v>
      </c>
      <c r="D50">
        <f>B50-$S$36*(C50-C$52)</f>
        <v>21.333234641578301</v>
      </c>
    </row>
    <row r="51" spans="1:23" ht="15.75" thickBot="1" x14ac:dyDescent="0.3">
      <c r="A51" s="139" t="s">
        <v>27</v>
      </c>
      <c r="B51" s="17">
        <f>AVERAGE(A30:A39)</f>
        <v>15.8</v>
      </c>
      <c r="C51" s="17">
        <f>AVERAGE(B30:B39)</f>
        <v>40.129999999999995</v>
      </c>
      <c r="D51" s="17">
        <f>B51-$S$36*(C51-C$52)</f>
        <v>18.597272845501465</v>
      </c>
      <c r="R51" t="s">
        <v>84</v>
      </c>
    </row>
    <row r="52" spans="1:23" x14ac:dyDescent="0.25">
      <c r="B52">
        <f>AVERAGE(A4:A39)</f>
        <v>23.055555555555557</v>
      </c>
      <c r="C52">
        <f>AVERAGE(B4:B39)</f>
        <v>48.802777777777777</v>
      </c>
      <c r="D52">
        <f>AVERAGE(D48:D51)</f>
        <v>23.441843282057516</v>
      </c>
      <c r="J52" s="1" t="s">
        <v>405</v>
      </c>
      <c r="R52" s="87"/>
      <c r="S52" s="87" t="s">
        <v>37</v>
      </c>
      <c r="T52" s="87" t="s">
        <v>76</v>
      </c>
      <c r="U52" s="87" t="s">
        <v>78</v>
      </c>
      <c r="V52" s="87" t="s">
        <v>68</v>
      </c>
      <c r="W52" s="87" t="s">
        <v>87</v>
      </c>
    </row>
    <row r="53" spans="1:23" x14ac:dyDescent="0.25">
      <c r="R53" s="16" t="s">
        <v>77</v>
      </c>
      <c r="S53" s="16">
        <v>3</v>
      </c>
      <c r="T53" s="16">
        <v>1897.0572222222254</v>
      </c>
      <c r="U53" s="16">
        <v>632.35240740740846</v>
      </c>
      <c r="V53" s="16">
        <v>1.2542356704784683</v>
      </c>
      <c r="W53" s="16">
        <v>0.30655018520822414</v>
      </c>
    </row>
    <row r="54" spans="1:23" ht="15.75" thickBot="1" x14ac:dyDescent="0.3">
      <c r="J54" t="s">
        <v>399</v>
      </c>
      <c r="R54" s="16" t="s">
        <v>85</v>
      </c>
      <c r="S54" s="16">
        <v>32</v>
      </c>
      <c r="T54" s="16">
        <v>16133.552500000002</v>
      </c>
      <c r="U54" s="16">
        <v>504.17351562500005</v>
      </c>
      <c r="V54" s="16"/>
      <c r="W54" s="16"/>
    </row>
    <row r="55" spans="1:23" ht="15.75" thickBot="1" x14ac:dyDescent="0.3">
      <c r="A55" s="87" t="s">
        <v>356</v>
      </c>
      <c r="B55" s="87" t="s">
        <v>94</v>
      </c>
      <c r="C55" s="87" t="s">
        <v>375</v>
      </c>
      <c r="R55" s="17" t="s">
        <v>1</v>
      </c>
      <c r="S55" s="17">
        <v>35</v>
      </c>
      <c r="T55" s="17">
        <v>18030.609722222227</v>
      </c>
      <c r="U55" s="17"/>
      <c r="V55" s="17"/>
      <c r="W55" s="17"/>
    </row>
    <row r="56" spans="1:23" x14ac:dyDescent="0.25">
      <c r="A56" s="86" t="s">
        <v>19</v>
      </c>
      <c r="B56">
        <f>AVERAGE(A4:A11)</f>
        <v>22.875</v>
      </c>
      <c r="C56">
        <f>C59+S37</f>
        <v>23.783025119760339</v>
      </c>
      <c r="J56" t="s">
        <v>397</v>
      </c>
      <c r="K56" s="57">
        <f>L33/L35</f>
        <v>0.11649180474886933</v>
      </c>
    </row>
    <row r="57" spans="1:23" x14ac:dyDescent="0.25">
      <c r="A57" s="86" t="s">
        <v>20</v>
      </c>
      <c r="B57">
        <f>AVERAGE(A12:A19)</f>
        <v>33.75</v>
      </c>
      <c r="C57">
        <f>C59+S38</f>
        <v>30.053840521389958</v>
      </c>
      <c r="J57" t="s">
        <v>398</v>
      </c>
      <c r="K57" s="58">
        <f>L33/(L33+L34)</f>
        <v>0.24407657342516512</v>
      </c>
    </row>
    <row r="58" spans="1:23" x14ac:dyDescent="0.25">
      <c r="A58" s="86" t="s">
        <v>26</v>
      </c>
      <c r="B58">
        <f>AVERAGE(A20:A29)</f>
        <v>21.9</v>
      </c>
      <c r="C58">
        <f>C59+S39</f>
        <v>21.333234641578304</v>
      </c>
      <c r="R58" t="s">
        <v>359</v>
      </c>
    </row>
    <row r="59" spans="1:23" ht="15.75" thickBot="1" x14ac:dyDescent="0.3">
      <c r="A59" s="139" t="s">
        <v>27</v>
      </c>
      <c r="B59" s="17">
        <f>AVERAGE(A30:A39)</f>
        <v>15.8</v>
      </c>
      <c r="C59" s="17">
        <f>S35+C52*S36</f>
        <v>18.597272845501461</v>
      </c>
      <c r="J59" t="s">
        <v>400</v>
      </c>
    </row>
    <row r="60" spans="1:23" x14ac:dyDescent="0.25">
      <c r="B60">
        <f>AVERAGE(A4:A39)</f>
        <v>23.055555555555557</v>
      </c>
      <c r="C60">
        <f>AVERAGE(C56:C59)</f>
        <v>23.441843282057516</v>
      </c>
      <c r="R60" s="18" t="s">
        <v>81</v>
      </c>
      <c r="S60" s="18"/>
    </row>
    <row r="61" spans="1:23" x14ac:dyDescent="0.25">
      <c r="J61" t="s">
        <v>397</v>
      </c>
      <c r="K61" s="57">
        <f>L32/L35</f>
        <v>0.34238896992655465</v>
      </c>
      <c r="R61" s="16" t="s">
        <v>82</v>
      </c>
      <c r="S61" s="16">
        <v>0.54481848977319036</v>
      </c>
    </row>
    <row r="62" spans="1:23" x14ac:dyDescent="0.25">
      <c r="J62" t="s">
        <v>398</v>
      </c>
      <c r="K62" s="58">
        <f>L32/(L32+L34)</f>
        <v>0.48692009062153119</v>
      </c>
      <c r="R62" s="16" t="s">
        <v>80</v>
      </c>
      <c r="S62" s="16">
        <v>0.29682718679873993</v>
      </c>
    </row>
    <row r="63" spans="1:23" x14ac:dyDescent="0.25">
      <c r="R63" s="16" t="s">
        <v>83</v>
      </c>
      <c r="S63" s="16">
        <v>0.23090473556112179</v>
      </c>
    </row>
    <row r="64" spans="1:23" x14ac:dyDescent="0.25">
      <c r="J64" t="s">
        <v>401</v>
      </c>
      <c r="R64" s="16" t="s">
        <v>9</v>
      </c>
      <c r="S64" s="16">
        <v>10.378576190884759</v>
      </c>
    </row>
    <row r="65" spans="10:23" ht="15.75" thickBot="1" x14ac:dyDescent="0.3">
      <c r="R65" s="17" t="s">
        <v>49</v>
      </c>
      <c r="S65" s="17">
        <v>36</v>
      </c>
    </row>
    <row r="66" spans="10:23" x14ac:dyDescent="0.25">
      <c r="J66" t="s">
        <v>63</v>
      </c>
      <c r="K66" s="106">
        <f>SQRT(U36^2/(U36^2+S31))</f>
        <v>0.69779659688302542</v>
      </c>
    </row>
    <row r="67" spans="10:23" ht="15.75" thickBot="1" x14ac:dyDescent="0.3">
      <c r="R67" t="s">
        <v>84</v>
      </c>
    </row>
    <row r="68" spans="10:23" x14ac:dyDescent="0.25">
      <c r="R68" s="87"/>
      <c r="S68" s="87" t="s">
        <v>37</v>
      </c>
      <c r="T68" s="87" t="s">
        <v>76</v>
      </c>
      <c r="U68" s="87" t="s">
        <v>78</v>
      </c>
      <c r="V68" s="87" t="s">
        <v>68</v>
      </c>
      <c r="W68" s="87" t="s">
        <v>87</v>
      </c>
    </row>
    <row r="69" spans="10:23" x14ac:dyDescent="0.25">
      <c r="R69" s="16" t="s">
        <v>77</v>
      </c>
      <c r="S69" s="16">
        <v>3</v>
      </c>
      <c r="T69" s="16">
        <v>1455.0138888888901</v>
      </c>
      <c r="U69" s="16">
        <v>485.00462962963002</v>
      </c>
      <c r="V69" s="16">
        <v>4.5026721735334654</v>
      </c>
      <c r="W69" s="16">
        <v>9.5805875705777723E-3</v>
      </c>
    </row>
    <row r="70" spans="10:23" x14ac:dyDescent="0.25">
      <c r="R70" s="16" t="s">
        <v>85</v>
      </c>
      <c r="S70" s="16">
        <v>32</v>
      </c>
      <c r="T70" s="16">
        <v>3446.8749999999995</v>
      </c>
      <c r="U70" s="16">
        <v>107.71484374999999</v>
      </c>
      <c r="V70" s="16"/>
      <c r="W70" s="16"/>
    </row>
    <row r="71" spans="10:23" ht="15.75" thickBot="1" x14ac:dyDescent="0.3">
      <c r="R71" s="17" t="s">
        <v>1</v>
      </c>
      <c r="S71" s="17">
        <v>35</v>
      </c>
      <c r="T71" s="17">
        <v>4901.8888888888896</v>
      </c>
      <c r="U71" s="17"/>
      <c r="V71" s="17"/>
      <c r="W71" s="17"/>
    </row>
    <row r="74" spans="10:23" x14ac:dyDescent="0.25">
      <c r="R74" t="s">
        <v>360</v>
      </c>
    </row>
    <row r="75" spans="10:23" ht="15.75" thickBot="1" x14ac:dyDescent="0.3"/>
    <row r="76" spans="10:23" x14ac:dyDescent="0.25">
      <c r="R76" s="18" t="s">
        <v>81</v>
      </c>
      <c r="S76" s="18"/>
    </row>
    <row r="77" spans="10:23" x14ac:dyDescent="0.25">
      <c r="R77" s="16" t="s">
        <v>82</v>
      </c>
      <c r="S77" s="16">
        <v>0.72299678559204206</v>
      </c>
    </row>
    <row r="78" spans="10:23" x14ac:dyDescent="0.25">
      <c r="R78" s="16" t="s">
        <v>80</v>
      </c>
      <c r="S78" s="16">
        <v>0.52272435197642519</v>
      </c>
    </row>
    <row r="79" spans="10:23" x14ac:dyDescent="0.25">
      <c r="R79" s="16" t="s">
        <v>83</v>
      </c>
      <c r="S79" s="16">
        <v>0.5086868329169083</v>
      </c>
    </row>
    <row r="80" spans="10:23" x14ac:dyDescent="0.25">
      <c r="R80" s="16" t="s">
        <v>9</v>
      </c>
      <c r="S80" s="16">
        <v>8.2952009442455292</v>
      </c>
    </row>
    <row r="81" spans="18:23" ht="15.75" thickBot="1" x14ac:dyDescent="0.3">
      <c r="R81" s="17" t="s">
        <v>49</v>
      </c>
      <c r="S81" s="17">
        <v>36</v>
      </c>
    </row>
    <row r="83" spans="18:23" ht="15.75" thickBot="1" x14ac:dyDescent="0.3">
      <c r="R83" t="s">
        <v>84</v>
      </c>
    </row>
    <row r="84" spans="18:23" x14ac:dyDescent="0.25">
      <c r="R84" s="87"/>
      <c r="S84" s="87" t="s">
        <v>37</v>
      </c>
      <c r="T84" s="87" t="s">
        <v>76</v>
      </c>
      <c r="U84" s="87" t="s">
        <v>78</v>
      </c>
      <c r="V84" s="87" t="s">
        <v>68</v>
      </c>
      <c r="W84" s="87" t="s">
        <v>87</v>
      </c>
    </row>
    <row r="85" spans="18:23" x14ac:dyDescent="0.25">
      <c r="R85" s="16" t="s">
        <v>77</v>
      </c>
      <c r="S85" s="16">
        <v>1</v>
      </c>
      <c r="T85" s="16">
        <v>2562.3366929048839</v>
      </c>
      <c r="U85" s="16">
        <v>2562.3366929048839</v>
      </c>
      <c r="V85" s="16">
        <v>37.237659287239794</v>
      </c>
      <c r="W85" s="16">
        <v>6.3463662804716112E-7</v>
      </c>
    </row>
    <row r="86" spans="18:23" x14ac:dyDescent="0.25">
      <c r="R86" s="16" t="s">
        <v>85</v>
      </c>
      <c r="S86" s="16">
        <v>34</v>
      </c>
      <c r="T86" s="16">
        <v>2339.5521959840057</v>
      </c>
      <c r="U86" s="16">
        <v>68.810358705411929</v>
      </c>
      <c r="V86" s="16"/>
      <c r="W86" s="16"/>
    </row>
    <row r="87" spans="18:23" ht="15.75" thickBot="1" x14ac:dyDescent="0.3">
      <c r="R87" s="17" t="s">
        <v>1</v>
      </c>
      <c r="S87" s="17">
        <v>35</v>
      </c>
      <c r="T87" s="17">
        <v>4901.8888888888896</v>
      </c>
      <c r="U87" s="17"/>
      <c r="V87" s="17"/>
      <c r="W87" s="17"/>
    </row>
  </sheetData>
  <pageMargins left="0.7" right="0.7" top="0.75" bottom="0.75" header="0.3" footer="0.3"/>
  <ignoredErrors>
    <ignoredError sqref="B56:B57 B48:C48 B58:B59 B49:C51" formulaRange="1"/>
  </ignoredError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7"/>
  <dimension ref="A1:AA57"/>
  <sheetViews>
    <sheetView workbookViewId="0"/>
  </sheetViews>
  <sheetFormatPr defaultRowHeight="15" x14ac:dyDescent="0.25"/>
  <cols>
    <col min="1" max="1" width="5.85546875" customWidth="1"/>
    <col min="2" max="5" width="10.140625" customWidth="1"/>
    <col min="6" max="6" width="10.7109375" customWidth="1"/>
    <col min="7" max="11" width="10.140625" customWidth="1"/>
    <col min="13" max="13" width="17.28515625" customWidth="1"/>
    <col min="18" max="18" width="9.140625" customWidth="1"/>
    <col min="21" max="21" width="16.7109375" customWidth="1"/>
    <col min="27" max="27" width="12" bestFit="1" customWidth="1"/>
  </cols>
  <sheetData>
    <row r="1" spans="1:27" x14ac:dyDescent="0.25">
      <c r="A1" s="1" t="s">
        <v>404</v>
      </c>
    </row>
    <row r="3" spans="1:27" ht="15.75" thickBot="1" x14ac:dyDescent="0.3">
      <c r="B3" t="s">
        <v>384</v>
      </c>
      <c r="G3" t="s">
        <v>385</v>
      </c>
      <c r="M3" t="s">
        <v>390</v>
      </c>
      <c r="U3" t="s">
        <v>383</v>
      </c>
    </row>
    <row r="4" spans="1:27" x14ac:dyDescent="0.25">
      <c r="M4" s="87" t="s">
        <v>107</v>
      </c>
      <c r="N4" s="87" t="s">
        <v>76</v>
      </c>
      <c r="O4" s="87" t="s">
        <v>37</v>
      </c>
      <c r="P4" s="87" t="s">
        <v>78</v>
      </c>
      <c r="Q4" s="87" t="s">
        <v>68</v>
      </c>
      <c r="R4" s="87" t="s">
        <v>62</v>
      </c>
      <c r="S4" s="87" t="s">
        <v>108</v>
      </c>
    </row>
    <row r="5" spans="1:27" ht="15.75" thickBot="1" x14ac:dyDescent="0.3">
      <c r="B5" s="138" t="s">
        <v>19</v>
      </c>
      <c r="C5" s="138" t="s">
        <v>20</v>
      </c>
      <c r="D5" s="138" t="s">
        <v>26</v>
      </c>
      <c r="E5" s="140" t="s">
        <v>27</v>
      </c>
      <c r="G5" s="138" t="s">
        <v>19</v>
      </c>
      <c r="H5" s="138" t="s">
        <v>20</v>
      </c>
      <c r="I5" s="138" t="s">
        <v>26</v>
      </c>
      <c r="J5" s="140" t="s">
        <v>27</v>
      </c>
      <c r="K5" s="142"/>
      <c r="M5" s="16" t="s">
        <v>103</v>
      </c>
      <c r="N5" s="16">
        <v>1455.0138888888878</v>
      </c>
      <c r="O5" s="16">
        <v>3</v>
      </c>
      <c r="P5" s="16">
        <v>485.00462962962928</v>
      </c>
      <c r="Q5" s="16">
        <v>4.5026721735334574</v>
      </c>
      <c r="R5" s="16">
        <v>9.5805875705778556E-3</v>
      </c>
      <c r="S5" s="16">
        <v>2.9011195838408388</v>
      </c>
      <c r="U5" t="s">
        <v>39</v>
      </c>
    </row>
    <row r="6" spans="1:27" x14ac:dyDescent="0.25">
      <c r="B6">
        <v>12</v>
      </c>
      <c r="C6">
        <v>45</v>
      </c>
      <c r="D6">
        <v>20</v>
      </c>
      <c r="E6">
        <v>12</v>
      </c>
      <c r="G6">
        <v>17.5</v>
      </c>
      <c r="H6">
        <v>70.8</v>
      </c>
      <c r="I6">
        <v>71.400000000000006</v>
      </c>
      <c r="J6">
        <v>35</v>
      </c>
      <c r="M6" s="16" t="s">
        <v>104</v>
      </c>
      <c r="N6" s="16">
        <v>3446.875</v>
      </c>
      <c r="O6" s="16">
        <v>32</v>
      </c>
      <c r="P6" s="16">
        <v>107.71484375</v>
      </c>
      <c r="Q6" s="16"/>
      <c r="R6" s="16"/>
      <c r="S6" s="16"/>
      <c r="U6" s="87" t="s">
        <v>47</v>
      </c>
      <c r="V6" s="87" t="s">
        <v>11</v>
      </c>
      <c r="W6" s="87" t="s">
        <v>10</v>
      </c>
      <c r="X6" s="87" t="s">
        <v>106</v>
      </c>
      <c r="Y6" s="87" t="s">
        <v>48</v>
      </c>
    </row>
    <row r="7" spans="1:27" x14ac:dyDescent="0.25">
      <c r="B7">
        <v>39</v>
      </c>
      <c r="C7">
        <v>37</v>
      </c>
      <c r="D7">
        <v>42</v>
      </c>
      <c r="E7">
        <v>10</v>
      </c>
      <c r="G7">
        <v>104.60000000000001</v>
      </c>
      <c r="H7">
        <v>45.9</v>
      </c>
      <c r="I7">
        <v>55</v>
      </c>
      <c r="J7">
        <v>33</v>
      </c>
      <c r="M7" s="16"/>
      <c r="N7" s="16"/>
      <c r="O7" s="16"/>
      <c r="P7" s="16"/>
      <c r="Q7" s="16"/>
      <c r="R7" s="16"/>
      <c r="S7" s="16"/>
      <c r="U7" s="16" t="s">
        <v>19</v>
      </c>
      <c r="V7" s="16">
        <v>8</v>
      </c>
      <c r="W7" s="16">
        <v>183</v>
      </c>
      <c r="X7" s="16">
        <v>22.875</v>
      </c>
      <c r="Y7" s="16">
        <v>134.125</v>
      </c>
    </row>
    <row r="8" spans="1:27" ht="15.75" thickBot="1" x14ac:dyDescent="0.3">
      <c r="B8">
        <v>36</v>
      </c>
      <c r="C8">
        <v>13</v>
      </c>
      <c r="D8">
        <v>31</v>
      </c>
      <c r="E8">
        <v>19</v>
      </c>
      <c r="G8">
        <v>64.7</v>
      </c>
      <c r="H8">
        <v>47.5</v>
      </c>
      <c r="I8">
        <v>54</v>
      </c>
      <c r="J8">
        <v>34.200000000000003</v>
      </c>
      <c r="M8" s="17" t="s">
        <v>1</v>
      </c>
      <c r="N8" s="17">
        <v>4901.8888888888878</v>
      </c>
      <c r="O8" s="17">
        <v>35</v>
      </c>
      <c r="P8" s="17"/>
      <c r="Q8" s="17"/>
      <c r="R8" s="17"/>
      <c r="S8" s="17"/>
      <c r="U8" s="16" t="s">
        <v>20</v>
      </c>
      <c r="V8" s="16">
        <v>8</v>
      </c>
      <c r="W8" s="16">
        <v>270</v>
      </c>
      <c r="X8" s="16">
        <v>33.75</v>
      </c>
      <c r="Y8" s="16">
        <v>164.78571428571428</v>
      </c>
    </row>
    <row r="9" spans="1:27" x14ac:dyDescent="0.25">
      <c r="B9">
        <v>17</v>
      </c>
      <c r="C9">
        <v>50</v>
      </c>
      <c r="D9">
        <v>24</v>
      </c>
      <c r="E9">
        <v>18</v>
      </c>
      <c r="G9">
        <v>47</v>
      </c>
      <c r="H9">
        <v>77.8</v>
      </c>
      <c r="I9">
        <v>27.9</v>
      </c>
      <c r="J9">
        <v>43.2</v>
      </c>
      <c r="U9" s="16" t="s">
        <v>26</v>
      </c>
      <c r="V9" s="16">
        <v>10</v>
      </c>
      <c r="W9" s="16">
        <v>219</v>
      </c>
      <c r="X9" s="16">
        <v>21.9</v>
      </c>
      <c r="Y9" s="16">
        <v>105.65555555555551</v>
      </c>
    </row>
    <row r="10" spans="1:27" ht="15.75" thickBot="1" x14ac:dyDescent="0.3">
      <c r="B10">
        <v>25</v>
      </c>
      <c r="C10">
        <v>35</v>
      </c>
      <c r="D10">
        <v>15</v>
      </c>
      <c r="E10">
        <v>14</v>
      </c>
      <c r="G10">
        <v>22</v>
      </c>
      <c r="H10">
        <v>70.900000000000006</v>
      </c>
      <c r="I10">
        <v>40.599999999999994</v>
      </c>
      <c r="J10">
        <v>20</v>
      </c>
      <c r="U10" s="17" t="s">
        <v>27</v>
      </c>
      <c r="V10" s="17">
        <v>10</v>
      </c>
      <c r="W10" s="17">
        <v>158</v>
      </c>
      <c r="X10" s="17">
        <v>15.8</v>
      </c>
      <c r="Y10" s="17">
        <v>44.844444444444434</v>
      </c>
    </row>
    <row r="11" spans="1:27" ht="15.75" thickBot="1" x14ac:dyDescent="0.3">
      <c r="B11">
        <v>15</v>
      </c>
      <c r="C11">
        <v>40</v>
      </c>
      <c r="D11">
        <v>13</v>
      </c>
      <c r="E11">
        <v>8</v>
      </c>
      <c r="G11">
        <v>12.4</v>
      </c>
      <c r="H11">
        <v>84.8</v>
      </c>
      <c r="I11">
        <v>33</v>
      </c>
      <c r="J11">
        <v>37</v>
      </c>
      <c r="M11" t="s">
        <v>391</v>
      </c>
    </row>
    <row r="12" spans="1:27" x14ac:dyDescent="0.25">
      <c r="B12">
        <v>8</v>
      </c>
      <c r="C12">
        <v>33</v>
      </c>
      <c r="D12">
        <v>9</v>
      </c>
      <c r="E12">
        <v>7</v>
      </c>
      <c r="G12">
        <v>20</v>
      </c>
      <c r="H12">
        <v>49.8</v>
      </c>
      <c r="I12">
        <v>22.2</v>
      </c>
      <c r="J12">
        <v>28.2</v>
      </c>
      <c r="M12" s="87" t="s">
        <v>107</v>
      </c>
      <c r="N12" s="87" t="s">
        <v>76</v>
      </c>
      <c r="O12" s="87" t="s">
        <v>37</v>
      </c>
      <c r="P12" s="87" t="s">
        <v>78</v>
      </c>
      <c r="Q12" s="87" t="s">
        <v>68</v>
      </c>
      <c r="R12" s="87" t="s">
        <v>62</v>
      </c>
      <c r="S12" s="87" t="s">
        <v>108</v>
      </c>
    </row>
    <row r="13" spans="1:27" ht="15.75" thickBot="1" x14ac:dyDescent="0.3">
      <c r="B13">
        <v>31</v>
      </c>
      <c r="C13">
        <v>17</v>
      </c>
      <c r="D13">
        <v>21</v>
      </c>
      <c r="E13">
        <v>19</v>
      </c>
      <c r="G13">
        <v>79.7</v>
      </c>
      <c r="H13">
        <v>34.599999999999994</v>
      </c>
      <c r="I13">
        <v>80.5</v>
      </c>
      <c r="J13">
        <v>46.400000000000006</v>
      </c>
      <c r="M13" s="16" t="s">
        <v>103</v>
      </c>
      <c r="N13" s="16">
        <v>1897.0572222222163</v>
      </c>
      <c r="O13" s="16">
        <v>3</v>
      </c>
      <c r="P13" s="16">
        <v>632.35240740740539</v>
      </c>
      <c r="Q13" s="16">
        <v>1.2542356704784621</v>
      </c>
      <c r="R13" s="16">
        <v>0.30655018520822608</v>
      </c>
      <c r="S13" s="16">
        <v>2.9011195838408388</v>
      </c>
      <c r="U13" t="s">
        <v>84</v>
      </c>
    </row>
    <row r="14" spans="1:27" x14ac:dyDescent="0.25">
      <c r="D14">
        <v>31</v>
      </c>
      <c r="E14">
        <v>25</v>
      </c>
      <c r="I14">
        <v>80</v>
      </c>
      <c r="J14">
        <v>64.900000000000006</v>
      </c>
      <c r="M14" s="16" t="s">
        <v>104</v>
      </c>
      <c r="N14" s="16">
        <v>16133.552500000003</v>
      </c>
      <c r="O14" s="16">
        <v>32</v>
      </c>
      <c r="P14" s="16">
        <v>504.17351562500011</v>
      </c>
      <c r="Q14" s="16"/>
      <c r="R14" s="16"/>
      <c r="S14" s="16"/>
      <c r="U14" s="87" t="s">
        <v>107</v>
      </c>
      <c r="V14" s="87" t="s">
        <v>76</v>
      </c>
      <c r="W14" s="87" t="s">
        <v>37</v>
      </c>
      <c r="X14" s="87" t="s">
        <v>78</v>
      </c>
      <c r="Y14" s="87" t="s">
        <v>68</v>
      </c>
      <c r="Z14" s="87" t="s">
        <v>62</v>
      </c>
      <c r="AA14" s="87" t="s">
        <v>108</v>
      </c>
    </row>
    <row r="15" spans="1:27" x14ac:dyDescent="0.25">
      <c r="B15" s="53"/>
      <c r="C15" s="53"/>
      <c r="D15" s="53">
        <v>13</v>
      </c>
      <c r="E15" s="53">
        <v>26</v>
      </c>
      <c r="G15" s="53"/>
      <c r="H15" s="53"/>
      <c r="I15" s="53">
        <v>41</v>
      </c>
      <c r="J15" s="53">
        <v>59.4</v>
      </c>
      <c r="K15" s="7"/>
      <c r="M15" s="16"/>
      <c r="N15" s="16"/>
      <c r="O15" s="16"/>
      <c r="P15" s="16"/>
      <c r="Q15" s="16"/>
      <c r="R15" s="16"/>
      <c r="S15" s="16"/>
      <c r="U15" s="16" t="s">
        <v>103</v>
      </c>
      <c r="V15" s="16">
        <v>1455.0138888888878</v>
      </c>
      <c r="W15" s="16">
        <v>3</v>
      </c>
      <c r="X15" s="16">
        <v>485.00462962962928</v>
      </c>
      <c r="Y15" s="16">
        <v>4.5026721735334574</v>
      </c>
      <c r="Z15" s="16">
        <v>9.5805875705778556E-3</v>
      </c>
      <c r="AA15" s="16">
        <v>2.9011195838408388</v>
      </c>
    </row>
    <row r="16" spans="1:27" ht="15.75" thickBot="1" x14ac:dyDescent="0.3">
      <c r="A16" t="s">
        <v>6</v>
      </c>
      <c r="B16">
        <f>AVERAGE(B6:B15)</f>
        <v>22.875</v>
      </c>
      <c r="C16">
        <f>AVERAGE(C6:C15)</f>
        <v>33.75</v>
      </c>
      <c r="D16">
        <f>AVERAGE(D6:D15)</f>
        <v>21.9</v>
      </c>
      <c r="E16">
        <f>AVERAGE(E6:E15)</f>
        <v>15.8</v>
      </c>
      <c r="G16">
        <f>AVERAGE(G6:G15)</f>
        <v>45.987499999999997</v>
      </c>
      <c r="H16">
        <f>AVERAGE(H6:H15)</f>
        <v>60.262500000000003</v>
      </c>
      <c r="I16">
        <f>AVERAGE(I6:I15)</f>
        <v>50.559999999999995</v>
      </c>
      <c r="J16">
        <f>AVERAGE(J6:J15)</f>
        <v>40.129999999999995</v>
      </c>
      <c r="M16" s="17" t="s">
        <v>1</v>
      </c>
      <c r="N16" s="17">
        <v>18030.60972222222</v>
      </c>
      <c r="O16" s="17">
        <v>35</v>
      </c>
      <c r="P16" s="17"/>
      <c r="Q16" s="17"/>
      <c r="R16" s="17"/>
      <c r="S16" s="17"/>
      <c r="U16" s="16" t="s">
        <v>104</v>
      </c>
      <c r="V16" s="16">
        <v>3446.875</v>
      </c>
      <c r="W16" s="16">
        <v>32</v>
      </c>
      <c r="X16" s="16">
        <v>107.71484375</v>
      </c>
      <c r="Y16" s="16"/>
      <c r="Z16" s="16"/>
      <c r="AA16" s="16"/>
    </row>
    <row r="17" spans="1:27" x14ac:dyDescent="0.25">
      <c r="A17" t="s">
        <v>7</v>
      </c>
      <c r="B17" s="53">
        <f>VAR(B6:B15)</f>
        <v>134.125</v>
      </c>
      <c r="C17" s="53">
        <f>VAR(C6:C15)</f>
        <v>164.78571428571428</v>
      </c>
      <c r="D17" s="53">
        <f>VAR(D6:D15)</f>
        <v>105.65555555555551</v>
      </c>
      <c r="E17" s="53">
        <f>VAR(E6:E15)</f>
        <v>44.844444444444434</v>
      </c>
      <c r="G17" s="53">
        <f>VAR(G6:G15)</f>
        <v>1159.0783928571432</v>
      </c>
      <c r="H17" s="53">
        <f>VAR(H6:H15)</f>
        <v>324.43410714285659</v>
      </c>
      <c r="I17" s="53">
        <f>VAR(I6:I15)</f>
        <v>449.52044444444499</v>
      </c>
      <c r="J17" s="53">
        <f>VAR(J6:J15)</f>
        <v>189.25344444444514</v>
      </c>
      <c r="K17" s="7"/>
      <c r="U17" s="16"/>
      <c r="V17" s="16"/>
      <c r="W17" s="16"/>
      <c r="X17" s="16"/>
      <c r="Y17" s="16"/>
      <c r="Z17" s="16"/>
      <c r="AA17" s="16"/>
    </row>
    <row r="18" spans="1:27" ht="15.75" thickBot="1" x14ac:dyDescent="0.3">
      <c r="U18" s="17" t="s">
        <v>1</v>
      </c>
      <c r="V18" s="17">
        <v>4901.8888888888878</v>
      </c>
      <c r="W18" s="17">
        <v>35</v>
      </c>
      <c r="X18" s="17"/>
      <c r="Y18" s="17"/>
      <c r="Z18" s="17"/>
      <c r="AA18" s="17"/>
    </row>
    <row r="19" spans="1:27" ht="15.75" thickBot="1" x14ac:dyDescent="0.3">
      <c r="G19" t="s">
        <v>378</v>
      </c>
      <c r="M19" t="s">
        <v>366</v>
      </c>
    </row>
    <row r="20" spans="1:27" x14ac:dyDescent="0.25">
      <c r="M20" s="87" t="s">
        <v>107</v>
      </c>
      <c r="N20" s="87" t="s">
        <v>76</v>
      </c>
      <c r="O20" s="87" t="s">
        <v>37</v>
      </c>
      <c r="P20" s="87" t="s">
        <v>78</v>
      </c>
      <c r="Q20" s="87" t="s">
        <v>68</v>
      </c>
      <c r="R20" s="87" t="s">
        <v>62</v>
      </c>
    </row>
    <row r="21" spans="1:27" x14ac:dyDescent="0.25">
      <c r="F21" t="s">
        <v>76</v>
      </c>
      <c r="G21" s="61">
        <f>DEVSQ(G6:G15)</f>
        <v>8113.5487500000008</v>
      </c>
      <c r="H21" s="117">
        <f>DEVSQ(H6:H15)</f>
        <v>2271.0387499999997</v>
      </c>
      <c r="I21" s="117">
        <f>DEVSQ(I6:I15)</f>
        <v>4045.6840000000007</v>
      </c>
      <c r="J21" s="118">
        <f>DEVSQ(J6:J15)</f>
        <v>1703.2810000000002</v>
      </c>
      <c r="K21">
        <f>SUM(G21:J21)</f>
        <v>16133.552500000003</v>
      </c>
      <c r="M21" s="16" t="s">
        <v>387</v>
      </c>
      <c r="N21" s="16">
        <f>N24-N22</f>
        <v>571.02988334509268</v>
      </c>
      <c r="O21" s="16">
        <f>O5</f>
        <v>3</v>
      </c>
      <c r="P21" s="16">
        <f>N21/O21</f>
        <v>190.34329444836422</v>
      </c>
      <c r="Q21" s="16">
        <f>P21/P22</f>
        <v>3.336481584501255</v>
      </c>
      <c r="R21" s="16">
        <f>FDIST(Q21,O21,O22)</f>
        <v>3.1940102263092449E-2</v>
      </c>
      <c r="U21" t="s">
        <v>386</v>
      </c>
    </row>
    <row r="22" spans="1:27" x14ac:dyDescent="0.25">
      <c r="F22" t="s">
        <v>363</v>
      </c>
      <c r="G22" s="107">
        <f>SLOPE(B6:B15,G6:G15)</f>
        <v>0.29192990305259459</v>
      </c>
      <c r="H22" s="7">
        <f>SLOPE(C6:C15,H6:H15)</f>
        <v>0.53985208310514299</v>
      </c>
      <c r="I22" s="7">
        <f>SLOPE(D6:D15,I6:I15)</f>
        <v>0.2348824080180261</v>
      </c>
      <c r="J22" s="108">
        <f>SLOPE(E6:E15,J6:J15)</f>
        <v>0.3867594366402255</v>
      </c>
      <c r="M22" s="16" t="s">
        <v>388</v>
      </c>
      <c r="N22" s="16">
        <f>N6-G25^2*N14</f>
        <v>1768.5223126389089</v>
      </c>
      <c r="O22" s="16">
        <f>O6-1</f>
        <v>31</v>
      </c>
      <c r="P22" s="16">
        <f>N22/O22</f>
        <v>57.049106859319643</v>
      </c>
      <c r="Q22" s="16"/>
      <c r="R22" s="16"/>
    </row>
    <row r="23" spans="1:27" ht="15.75" thickBot="1" x14ac:dyDescent="0.3">
      <c r="F23" t="s">
        <v>382</v>
      </c>
      <c r="G23" s="52">
        <f>G21*G22</f>
        <v>2368.5875000000001</v>
      </c>
      <c r="H23" s="53">
        <f>H21*H22</f>
        <v>1226.0249999999999</v>
      </c>
      <c r="I23" s="53">
        <f>I21*I22</f>
        <v>950.26</v>
      </c>
      <c r="J23" s="56">
        <f>J21*J22</f>
        <v>658.76</v>
      </c>
      <c r="K23">
        <f>SUM(G23:J23)</f>
        <v>5203.6325000000006</v>
      </c>
      <c r="M23" s="16"/>
      <c r="N23" s="16"/>
      <c r="O23" s="16"/>
      <c r="P23" s="16"/>
      <c r="Q23" s="16"/>
      <c r="R23" s="16"/>
      <c r="U23" t="s">
        <v>39</v>
      </c>
    </row>
    <row r="24" spans="1:27" ht="15.75" thickBot="1" x14ac:dyDescent="0.3">
      <c r="M24" s="17" t="s">
        <v>357</v>
      </c>
      <c r="N24" s="17">
        <f>N8-G26^2*N16</f>
        <v>2339.5521959840016</v>
      </c>
      <c r="O24" s="17">
        <f>O21+O22</f>
        <v>34</v>
      </c>
      <c r="P24" s="17"/>
      <c r="Q24" s="17"/>
      <c r="R24" s="17"/>
      <c r="U24" s="87" t="s">
        <v>47</v>
      </c>
      <c r="V24" s="87" t="s">
        <v>11</v>
      </c>
      <c r="W24" s="87" t="s">
        <v>10</v>
      </c>
      <c r="X24" s="87" t="s">
        <v>106</v>
      </c>
      <c r="Y24" s="87" t="s">
        <v>48</v>
      </c>
    </row>
    <row r="25" spans="1:27" ht="18" x14ac:dyDescent="0.35">
      <c r="F25" t="s">
        <v>364</v>
      </c>
      <c r="G25">
        <f>K23/K21</f>
        <v>0.32253482300317921</v>
      </c>
      <c r="U25" s="16" t="s">
        <v>19</v>
      </c>
      <c r="V25" s="16">
        <v>8</v>
      </c>
      <c r="W25" s="16">
        <v>367.9</v>
      </c>
      <c r="X25" s="16">
        <v>45.987499999999997</v>
      </c>
      <c r="Y25" s="16">
        <v>1159.0783928571432</v>
      </c>
    </row>
    <row r="26" spans="1:27" ht="18" x14ac:dyDescent="0.35">
      <c r="F26" t="s">
        <v>354</v>
      </c>
      <c r="G26">
        <f>SLOPE(B6:E15,G6:J15)</f>
        <v>0.37697529640759841</v>
      </c>
      <c r="U26" s="16" t="s">
        <v>20</v>
      </c>
      <c r="V26" s="16">
        <v>8</v>
      </c>
      <c r="W26" s="16">
        <v>482.1</v>
      </c>
      <c r="X26" s="16">
        <v>60.262500000000003</v>
      </c>
      <c r="Y26" s="16">
        <v>324.43410714285659</v>
      </c>
    </row>
    <row r="27" spans="1:27" ht="15.75" thickBot="1" x14ac:dyDescent="0.3">
      <c r="M27" t="s">
        <v>367</v>
      </c>
      <c r="U27" s="16" t="s">
        <v>26</v>
      </c>
      <c r="V27" s="16">
        <v>10</v>
      </c>
      <c r="W27" s="16">
        <v>505.59999999999997</v>
      </c>
      <c r="X27" s="16">
        <v>50.559999999999995</v>
      </c>
      <c r="Y27" s="16">
        <v>449.52044444444499</v>
      </c>
    </row>
    <row r="28" spans="1:27" ht="15.75" thickBot="1" x14ac:dyDescent="0.3">
      <c r="M28" s="87" t="s">
        <v>107</v>
      </c>
      <c r="N28" s="87" t="s">
        <v>76</v>
      </c>
      <c r="O28" s="87" t="s">
        <v>37</v>
      </c>
      <c r="P28" s="87" t="s">
        <v>78</v>
      </c>
      <c r="Q28" s="87" t="s">
        <v>68</v>
      </c>
      <c r="R28" s="87" t="s">
        <v>62</v>
      </c>
      <c r="U28" s="17" t="s">
        <v>27</v>
      </c>
      <c r="V28" s="17">
        <v>10</v>
      </c>
      <c r="W28" s="17">
        <v>401.29999999999995</v>
      </c>
      <c r="X28" s="17">
        <v>40.129999999999995</v>
      </c>
      <c r="Y28" s="17">
        <v>189.25344444444514</v>
      </c>
    </row>
    <row r="29" spans="1:27" x14ac:dyDescent="0.25">
      <c r="M29" t="s">
        <v>361</v>
      </c>
      <c r="N29">
        <f>G25*K23</f>
        <v>1678.3526873610911</v>
      </c>
      <c r="O29">
        <v>1</v>
      </c>
      <c r="P29" s="16">
        <f>N29/O29</f>
        <v>1678.3526873610911</v>
      </c>
      <c r="Q29" s="16">
        <f>P29/P31</f>
        <v>29.419438440987836</v>
      </c>
      <c r="R29" s="16">
        <f>FDIST(Q29,O29,O31)</f>
        <v>6.3670620361677544E-6</v>
      </c>
    </row>
    <row r="30" spans="1:27" x14ac:dyDescent="0.25">
      <c r="M30" s="16" t="s">
        <v>389</v>
      </c>
      <c r="N30">
        <f>N21</f>
        <v>571.02988334509268</v>
      </c>
      <c r="O30">
        <f>O21</f>
        <v>3</v>
      </c>
      <c r="P30" s="16">
        <f>N30/O30</f>
        <v>190.34329444836422</v>
      </c>
      <c r="Q30" s="16">
        <f>P30/P31</f>
        <v>3.336481584501255</v>
      </c>
      <c r="R30" s="16">
        <f>FDIST(Q30,O30,O31)</f>
        <v>3.1940102263092449E-2</v>
      </c>
    </row>
    <row r="31" spans="1:27" ht="15.75" thickBot="1" x14ac:dyDescent="0.3">
      <c r="M31" s="16" t="s">
        <v>388</v>
      </c>
      <c r="N31" s="16">
        <f>N22</f>
        <v>1768.5223126389089</v>
      </c>
      <c r="O31" s="16">
        <f>O22</f>
        <v>31</v>
      </c>
      <c r="P31" s="16">
        <f>N31/O31</f>
        <v>57.049106859319643</v>
      </c>
      <c r="Q31" s="16"/>
      <c r="R31" s="16"/>
      <c r="U31" t="s">
        <v>84</v>
      </c>
    </row>
    <row r="32" spans="1:27" x14ac:dyDescent="0.25">
      <c r="M32" s="16"/>
      <c r="N32" s="16"/>
      <c r="O32" s="16"/>
      <c r="P32" s="16"/>
      <c r="Q32" s="16"/>
      <c r="R32" s="16"/>
      <c r="U32" s="87" t="s">
        <v>107</v>
      </c>
      <c r="V32" s="87" t="s">
        <v>76</v>
      </c>
      <c r="W32" s="87" t="s">
        <v>37</v>
      </c>
      <c r="X32" s="87" t="s">
        <v>78</v>
      </c>
      <c r="Y32" s="87" t="s">
        <v>68</v>
      </c>
      <c r="Z32" s="87" t="s">
        <v>62</v>
      </c>
      <c r="AA32" s="87" t="s">
        <v>108</v>
      </c>
    </row>
    <row r="33" spans="13:27" ht="15.75" thickBot="1" x14ac:dyDescent="0.3">
      <c r="M33" s="17" t="s">
        <v>1</v>
      </c>
      <c r="N33" s="17">
        <f>N8</f>
        <v>4901.8888888888878</v>
      </c>
      <c r="O33" s="17">
        <f>O8</f>
        <v>35</v>
      </c>
      <c r="P33" s="17"/>
      <c r="Q33" s="17"/>
      <c r="R33" s="17"/>
      <c r="U33" s="16" t="s">
        <v>103</v>
      </c>
      <c r="V33" s="16">
        <v>1897.0572222222163</v>
      </c>
      <c r="W33" s="16">
        <v>3</v>
      </c>
      <c r="X33" s="16">
        <v>632.35240740740539</v>
      </c>
      <c r="Y33" s="16">
        <v>1.2542356704784621</v>
      </c>
      <c r="Z33" s="16">
        <v>0.30655018520822608</v>
      </c>
      <c r="AA33" s="16">
        <v>2.9011195838408388</v>
      </c>
    </row>
    <row r="34" spans="13:27" x14ac:dyDescent="0.25">
      <c r="U34" s="16" t="s">
        <v>104</v>
      </c>
      <c r="V34" s="16">
        <v>16133.552500000003</v>
      </c>
      <c r="W34" s="16">
        <v>32</v>
      </c>
      <c r="X34" s="16">
        <v>504.17351562500011</v>
      </c>
      <c r="Y34" s="16"/>
      <c r="Z34" s="16"/>
      <c r="AA34" s="16"/>
    </row>
    <row r="35" spans="13:27" x14ac:dyDescent="0.25">
      <c r="U35" s="16"/>
      <c r="V35" s="16"/>
      <c r="W35" s="16"/>
      <c r="X35" s="16"/>
      <c r="Y35" s="16"/>
      <c r="Z35" s="16"/>
      <c r="AA35" s="16"/>
    </row>
    <row r="36" spans="13:27" ht="15.75" thickBot="1" x14ac:dyDescent="0.3">
      <c r="U36" s="17" t="s">
        <v>1</v>
      </c>
      <c r="V36" s="17">
        <v>18030.60972222222</v>
      </c>
      <c r="W36" s="17">
        <v>35</v>
      </c>
      <c r="X36" s="17"/>
      <c r="Y36" s="17"/>
      <c r="Z36" s="17"/>
      <c r="AA36" s="17"/>
    </row>
    <row r="56" spans="22:22" x14ac:dyDescent="0.25">
      <c r="V56">
        <f>'ANCOVA 2'!L7</f>
        <v>3133.3665762499804</v>
      </c>
    </row>
    <row r="57" spans="22:22" x14ac:dyDescent="0.25">
      <c r="V57">
        <f>V15</f>
        <v>1455.0138888888878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3"/>
  <dimension ref="A1:Q17"/>
  <sheetViews>
    <sheetView workbookViewId="0"/>
  </sheetViews>
  <sheetFormatPr defaultRowHeight="15" x14ac:dyDescent="0.25"/>
  <cols>
    <col min="1" max="1" width="5.85546875" customWidth="1"/>
    <col min="2" max="5" width="10.140625" customWidth="1"/>
    <col min="6" max="6" width="10.7109375" customWidth="1"/>
    <col min="7" max="11" width="10.140625" customWidth="1"/>
  </cols>
  <sheetData>
    <row r="1" spans="1:17" x14ac:dyDescent="0.25">
      <c r="A1" s="1" t="s">
        <v>603</v>
      </c>
      <c r="L1" t="s">
        <v>598</v>
      </c>
    </row>
    <row r="3" spans="1:17" x14ac:dyDescent="0.25">
      <c r="B3" t="s">
        <v>384</v>
      </c>
      <c r="G3" t="s">
        <v>385</v>
      </c>
      <c r="M3" t="str">
        <f>B5</f>
        <v>Method 1</v>
      </c>
      <c r="N3" t="str">
        <f>C5</f>
        <v>Method 2</v>
      </c>
      <c r="O3" t="str">
        <f>D5</f>
        <v>Method 3</v>
      </c>
      <c r="P3" t="str">
        <f>E5</f>
        <v>Method 4</v>
      </c>
    </row>
    <row r="4" spans="1:17" x14ac:dyDescent="0.25">
      <c r="L4" t="s">
        <v>76</v>
      </c>
      <c r="M4" s="277">
        <f>DEVSQ(G6:G15)</f>
        <v>8113.5487500000008</v>
      </c>
      <c r="N4" s="192">
        <f>DEVSQ(H6:H15)</f>
        <v>2271.0387499999997</v>
      </c>
      <c r="O4" s="192">
        <f>DEVSQ(I6:I15)</f>
        <v>4045.6840000000007</v>
      </c>
      <c r="P4" s="281">
        <f>DEVSQ(J6:J15)</f>
        <v>1703.2810000000002</v>
      </c>
    </row>
    <row r="5" spans="1:17" x14ac:dyDescent="0.25">
      <c r="B5" s="138" t="s">
        <v>19</v>
      </c>
      <c r="C5" s="138" t="s">
        <v>20</v>
      </c>
      <c r="D5" s="138" t="s">
        <v>26</v>
      </c>
      <c r="E5" s="140" t="s">
        <v>27</v>
      </c>
      <c r="G5" s="138" t="s">
        <v>19</v>
      </c>
      <c r="H5" s="138" t="s">
        <v>20</v>
      </c>
      <c r="I5" s="138" t="s">
        <v>26</v>
      </c>
      <c r="J5" s="140" t="s">
        <v>27</v>
      </c>
      <c r="K5" s="142"/>
      <c r="L5" t="s">
        <v>363</v>
      </c>
      <c r="M5" s="107">
        <f>SLOPE(B6:B15,G6:G15)</f>
        <v>0.29192990305259459</v>
      </c>
      <c r="N5" s="7">
        <f>SLOPE(C6:C15,H6:H15)</f>
        <v>0.53985208310514299</v>
      </c>
      <c r="O5" s="7">
        <f>SLOPE(D6:D15,I6:I15)</f>
        <v>0.2348824080180261</v>
      </c>
      <c r="P5" s="108">
        <f>SLOPE(E6:E15,J6:J15)</f>
        <v>0.3867594366402255</v>
      </c>
    </row>
    <row r="6" spans="1:17" x14ac:dyDescent="0.25">
      <c r="B6">
        <v>12</v>
      </c>
      <c r="C6">
        <v>45</v>
      </c>
      <c r="D6">
        <v>20</v>
      </c>
      <c r="E6">
        <v>12</v>
      </c>
      <c r="G6">
        <v>17.5</v>
      </c>
      <c r="H6">
        <v>70.8</v>
      </c>
      <c r="I6">
        <v>71.400000000000006</v>
      </c>
      <c r="J6">
        <v>35</v>
      </c>
      <c r="L6" t="s">
        <v>599</v>
      </c>
      <c r="M6" s="52">
        <f>AVERAGE(B6:B15)-(AVERAGE(G6:G15)-AVERAGE($G$6:$J$15))*$M8</f>
        <v>23.783025119760342</v>
      </c>
      <c r="N6" s="185">
        <f>AVERAGE(C6:C15)-(AVERAGE(H6:H15)-AVERAGE($G$6:$J$15))*$M8</f>
        <v>30.053840521389958</v>
      </c>
      <c r="O6" s="185">
        <f>AVERAGE(D6:D15)-(AVERAGE(I6:I15)-AVERAGE($G$6:$J$15))*$M8</f>
        <v>21.333234641578304</v>
      </c>
      <c r="P6" s="56">
        <f>AVERAGE(E6:E15)-(AVERAGE(J6:J15)-AVERAGE($G$6:$J$15))*$M8</f>
        <v>18.597272845501465</v>
      </c>
    </row>
    <row r="7" spans="1:17" x14ac:dyDescent="0.25">
      <c r="B7">
        <v>39</v>
      </c>
      <c r="C7">
        <v>37</v>
      </c>
      <c r="D7">
        <v>42</v>
      </c>
      <c r="E7">
        <v>10</v>
      </c>
      <c r="G7">
        <v>104.60000000000001</v>
      </c>
      <c r="H7">
        <v>45.9</v>
      </c>
      <c r="I7">
        <v>55</v>
      </c>
      <c r="J7">
        <v>33</v>
      </c>
    </row>
    <row r="8" spans="1:17" x14ac:dyDescent="0.25">
      <c r="B8">
        <v>36</v>
      </c>
      <c r="C8">
        <v>13</v>
      </c>
      <c r="D8">
        <v>31</v>
      </c>
      <c r="E8">
        <v>19</v>
      </c>
      <c r="G8">
        <v>64.7</v>
      </c>
      <c r="H8">
        <v>47.5</v>
      </c>
      <c r="I8">
        <v>54</v>
      </c>
      <c r="J8">
        <v>34.200000000000003</v>
      </c>
      <c r="L8" t="s">
        <v>600</v>
      </c>
      <c r="M8" s="264">
        <f>SUM(SUMPRODUCT(M4:P4,M5:P5))/SUM(M4:P4)</f>
        <v>0.32253482300317921</v>
      </c>
    </row>
    <row r="9" spans="1:17" x14ac:dyDescent="0.25">
      <c r="B9">
        <v>17</v>
      </c>
      <c r="C9">
        <v>50</v>
      </c>
      <c r="D9">
        <v>24</v>
      </c>
      <c r="E9">
        <v>18</v>
      </c>
      <c r="G9">
        <v>47</v>
      </c>
      <c r="H9">
        <v>77.8</v>
      </c>
      <c r="I9">
        <v>27.9</v>
      </c>
      <c r="J9">
        <v>43.2</v>
      </c>
      <c r="L9" t="s">
        <v>601</v>
      </c>
      <c r="M9" s="180">
        <f>SLOPE(B6:E15,G6:J15)</f>
        <v>0.37697529640759841</v>
      </c>
    </row>
    <row r="10" spans="1:17" x14ac:dyDescent="0.25">
      <c r="B10">
        <v>25</v>
      </c>
      <c r="C10">
        <v>35</v>
      </c>
      <c r="D10">
        <v>15</v>
      </c>
      <c r="E10">
        <v>14</v>
      </c>
      <c r="G10">
        <v>22</v>
      </c>
      <c r="H10">
        <v>70.900000000000006</v>
      </c>
      <c r="I10">
        <v>40.599999999999994</v>
      </c>
      <c r="J10">
        <v>20</v>
      </c>
    </row>
    <row r="11" spans="1:17" ht="15.75" thickBot="1" x14ac:dyDescent="0.3">
      <c r="B11">
        <v>15</v>
      </c>
      <c r="C11">
        <v>40</v>
      </c>
      <c r="D11">
        <v>13</v>
      </c>
      <c r="E11">
        <v>8</v>
      </c>
      <c r="G11">
        <v>12.4</v>
      </c>
      <c r="H11">
        <v>84.8</v>
      </c>
      <c r="I11">
        <v>33</v>
      </c>
      <c r="J11">
        <v>37</v>
      </c>
      <c r="L11" t="s">
        <v>353</v>
      </c>
    </row>
    <row r="12" spans="1:17" ht="15.75" thickTop="1" x14ac:dyDescent="0.25">
      <c r="B12">
        <v>8</v>
      </c>
      <c r="C12">
        <v>33</v>
      </c>
      <c r="D12">
        <v>9</v>
      </c>
      <c r="E12">
        <v>7</v>
      </c>
      <c r="G12">
        <v>20</v>
      </c>
      <c r="H12">
        <v>49.8</v>
      </c>
      <c r="I12">
        <v>22.2</v>
      </c>
      <c r="J12">
        <v>28.2</v>
      </c>
      <c r="L12" s="191"/>
      <c r="M12" s="191" t="s">
        <v>76</v>
      </c>
      <c r="N12" s="191" t="s">
        <v>37</v>
      </c>
      <c r="O12" s="191" t="s">
        <v>78</v>
      </c>
      <c r="P12" s="191" t="s">
        <v>68</v>
      </c>
      <c r="Q12" s="191" t="s">
        <v>43</v>
      </c>
    </row>
    <row r="13" spans="1:17" x14ac:dyDescent="0.25">
      <c r="B13">
        <v>31</v>
      </c>
      <c r="C13">
        <v>17</v>
      </c>
      <c r="D13">
        <v>21</v>
      </c>
      <c r="E13">
        <v>19</v>
      </c>
      <c r="G13">
        <v>79.7</v>
      </c>
      <c r="H13">
        <v>34.599999999999994</v>
      </c>
      <c r="I13">
        <v>80.5</v>
      </c>
      <c r="J13">
        <v>46.400000000000006</v>
      </c>
      <c r="L13" t="s">
        <v>361</v>
      </c>
      <c r="M13">
        <f>M8^2*SUM(M4:P4)</f>
        <v>1678.3526873610911</v>
      </c>
      <c r="N13">
        <v>1</v>
      </c>
      <c r="O13">
        <f>M13/N13</f>
        <v>1678.3526873610911</v>
      </c>
      <c r="P13" t="e">
        <f ca="1">O13/O15</f>
        <v>#NAME?</v>
      </c>
      <c r="Q13" t="e">
        <f ca="1">FDIST(P13,N13,N15)</f>
        <v>#NAME?</v>
      </c>
    </row>
    <row r="14" spans="1:17" x14ac:dyDescent="0.25">
      <c r="D14">
        <v>31</v>
      </c>
      <c r="E14">
        <v>25</v>
      </c>
      <c r="I14">
        <v>80</v>
      </c>
      <c r="J14">
        <v>64.900000000000006</v>
      </c>
      <c r="L14" t="s">
        <v>602</v>
      </c>
      <c r="M14" t="e">
        <f ca="1">M16-M9^2*DEVSQ(G6:J15)-M15</f>
        <v>#NAME?</v>
      </c>
      <c r="N14">
        <f>COUNT(M5:P5)-1</f>
        <v>3</v>
      </c>
      <c r="O14" t="e">
        <f ca="1">M14/N14</f>
        <v>#NAME?</v>
      </c>
      <c r="P14" t="e">
        <f ca="1">O14/O15</f>
        <v>#NAME?</v>
      </c>
      <c r="Q14" t="e">
        <f ca="1">FDIST(P14,N14,N15)</f>
        <v>#NAME?</v>
      </c>
    </row>
    <row r="15" spans="1:17" x14ac:dyDescent="0.25">
      <c r="B15" s="53"/>
      <c r="C15" s="53"/>
      <c r="D15" s="53">
        <v>13</v>
      </c>
      <c r="E15" s="53">
        <v>26</v>
      </c>
      <c r="G15" s="53"/>
      <c r="H15" s="53"/>
      <c r="I15" s="53">
        <v>41</v>
      </c>
      <c r="J15" s="53">
        <v>59.4</v>
      </c>
      <c r="K15" s="7"/>
      <c r="L15" t="s">
        <v>124</v>
      </c>
      <c r="M15" t="e">
        <f ca="1">SUMPRODUCT(VARCOL(B6:E15),COUNTCOL(B6:E15)-1)-SUMPRODUCT(VARCOL(G6:J15),COUNTCOL(G6:J15)-1)*M8^2</f>
        <v>#NAME?</v>
      </c>
      <c r="N15">
        <f>N16-N13-N14</f>
        <v>31</v>
      </c>
      <c r="O15" t="e">
        <f ca="1">M15/N15</f>
        <v>#NAME?</v>
      </c>
    </row>
    <row r="16" spans="1:17" x14ac:dyDescent="0.25">
      <c r="A16" t="s">
        <v>6</v>
      </c>
      <c r="B16">
        <f>AVERAGE(B6:B15)</f>
        <v>22.875</v>
      </c>
      <c r="C16">
        <f>AVERAGE(C6:C15)</f>
        <v>33.75</v>
      </c>
      <c r="D16">
        <f>AVERAGE(D6:D15)</f>
        <v>21.9</v>
      </c>
      <c r="E16">
        <f>AVERAGE(E6:E15)</f>
        <v>15.8</v>
      </c>
      <c r="G16">
        <f>AVERAGE(G6:G15)</f>
        <v>45.987499999999997</v>
      </c>
      <c r="H16">
        <f>AVERAGE(H6:H15)</f>
        <v>60.262500000000003</v>
      </c>
      <c r="I16">
        <f>AVERAGE(I6:I15)</f>
        <v>50.559999999999995</v>
      </c>
      <c r="J16">
        <f>AVERAGE(J6:J15)</f>
        <v>40.129999999999995</v>
      </c>
      <c r="L16" s="185" t="s">
        <v>1</v>
      </c>
      <c r="M16" s="185">
        <f>DEVSQ(B6:E15)</f>
        <v>4901.8888888888878</v>
      </c>
      <c r="N16" s="185">
        <f>COUNT(B6:E15)-1</f>
        <v>35</v>
      </c>
      <c r="O16" s="185"/>
      <c r="P16" s="185"/>
      <c r="Q16" s="185"/>
    </row>
    <row r="17" spans="1:11" x14ac:dyDescent="0.25">
      <c r="A17" t="s">
        <v>7</v>
      </c>
      <c r="B17" s="53">
        <f>VAR(B6:B15)</f>
        <v>134.125</v>
      </c>
      <c r="C17" s="53">
        <f>VAR(C6:C15)</f>
        <v>164.78571428571428</v>
      </c>
      <c r="D17" s="53">
        <f>VAR(D6:D15)</f>
        <v>105.65555555555551</v>
      </c>
      <c r="E17" s="53">
        <f>VAR(E6:E15)</f>
        <v>44.844444444444434</v>
      </c>
      <c r="G17" s="53">
        <f>VAR(G6:G15)</f>
        <v>1159.0783928571432</v>
      </c>
      <c r="H17" s="53">
        <f>VAR(H6:H15)</f>
        <v>324.43410714285659</v>
      </c>
      <c r="I17" s="53">
        <f>VAR(I6:I15)</f>
        <v>449.52044444444499</v>
      </c>
      <c r="J17" s="53">
        <f>VAR(J6:J15)</f>
        <v>189.25344444444514</v>
      </c>
      <c r="K17" s="7"/>
    </row>
  </sheetData>
  <pageMargins left="0.7" right="0.7" top="0.75" bottom="0.75" header="0.3" footer="0.3"/>
  <pageSetup paperSize="9" orientation="portrait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8"/>
  <dimension ref="A1:F17"/>
  <sheetViews>
    <sheetView workbookViewId="0">
      <selection activeCell="D17" sqref="D17"/>
    </sheetView>
  </sheetViews>
  <sheetFormatPr defaultRowHeight="15" x14ac:dyDescent="0.25"/>
  <cols>
    <col min="1" max="1" width="16.42578125" customWidth="1"/>
    <col min="5" max="5" width="3.42578125" customWidth="1"/>
    <col min="6" max="6" width="23.7109375" customWidth="1"/>
  </cols>
  <sheetData>
    <row r="1" spans="1:6" x14ac:dyDescent="0.25">
      <c r="A1" s="1" t="s">
        <v>381</v>
      </c>
    </row>
    <row r="3" spans="1:6" x14ac:dyDescent="0.25">
      <c r="B3" s="143" t="s">
        <v>20</v>
      </c>
      <c r="C3" s="143" t="s">
        <v>27</v>
      </c>
    </row>
    <row r="4" spans="1:6" x14ac:dyDescent="0.25">
      <c r="A4" t="s">
        <v>392</v>
      </c>
      <c r="B4" s="61">
        <f>'ANCOVA 2'!C57</f>
        <v>30.053840521389958</v>
      </c>
      <c r="C4" s="118">
        <f>'ANCOVA 2'!C59</f>
        <v>18.597272845501461</v>
      </c>
      <c r="D4" s="57">
        <f>ABS(B4-C4)</f>
        <v>11.456567675888497</v>
      </c>
      <c r="F4" s="14" t="s">
        <v>412</v>
      </c>
    </row>
    <row r="5" spans="1:6" x14ac:dyDescent="0.25">
      <c r="A5" t="s">
        <v>393</v>
      </c>
      <c r="B5" s="107">
        <f>'ANCOVA 1'!H16</f>
        <v>60.262500000000003</v>
      </c>
      <c r="C5" s="108">
        <f>'ANCOVA 1'!J16</f>
        <v>40.129999999999995</v>
      </c>
      <c r="D5" s="78">
        <f>(B5-C5)^2</f>
        <v>405.31755625000028</v>
      </c>
      <c r="F5" s="14" t="s">
        <v>413</v>
      </c>
    </row>
    <row r="6" spans="1:6" x14ac:dyDescent="0.25">
      <c r="A6" t="s">
        <v>394</v>
      </c>
      <c r="B6" s="52">
        <f>COUNT('ANCOVA 1'!C6:C15)</f>
        <v>8</v>
      </c>
      <c r="C6" s="56">
        <f>COUNT('ANCOVA 1'!E6:E15)</f>
        <v>10</v>
      </c>
      <c r="D6" s="58">
        <f>1/B6+1/C6</f>
        <v>0.22500000000000001</v>
      </c>
      <c r="F6" s="14" t="s">
        <v>414</v>
      </c>
    </row>
    <row r="7" spans="1:6" x14ac:dyDescent="0.25">
      <c r="A7" t="s">
        <v>395</v>
      </c>
      <c r="B7" s="7"/>
      <c r="C7" s="7"/>
      <c r="D7" s="78">
        <f>'ANCOVA 2'!M8</f>
        <v>57.049106859319657</v>
      </c>
      <c r="F7" s="14" t="s">
        <v>749</v>
      </c>
    </row>
    <row r="8" spans="1:6" x14ac:dyDescent="0.25">
      <c r="A8" t="s">
        <v>396</v>
      </c>
      <c r="B8" s="7"/>
      <c r="C8" s="7"/>
      <c r="D8" s="78">
        <f>'ANCOVA 2'!L14</f>
        <v>16133.552500000002</v>
      </c>
      <c r="F8" s="14" t="s">
        <v>750</v>
      </c>
    </row>
    <row r="9" spans="1:6" x14ac:dyDescent="0.25">
      <c r="A9" t="s">
        <v>96</v>
      </c>
      <c r="D9" s="78">
        <f>SQRT(D7*(D6+D5/D8))</f>
        <v>3.777469213487664</v>
      </c>
      <c r="F9" s="14" t="s">
        <v>415</v>
      </c>
    </row>
    <row r="10" spans="1:6" x14ac:dyDescent="0.25">
      <c r="A10" t="s">
        <v>40</v>
      </c>
      <c r="D10" s="78">
        <f>D4/D9</f>
        <v>3.0328685763955892</v>
      </c>
      <c r="F10" s="14" t="s">
        <v>416</v>
      </c>
    </row>
    <row r="11" spans="1:6" x14ac:dyDescent="0.25">
      <c r="A11" t="s">
        <v>37</v>
      </c>
      <c r="D11" s="78">
        <f>'ANCOVA 2'!K8</f>
        <v>31</v>
      </c>
      <c r="F11" s="14" t="s">
        <v>751</v>
      </c>
    </row>
    <row r="12" spans="1:6" x14ac:dyDescent="0.25">
      <c r="A12" s="22" t="s">
        <v>28</v>
      </c>
      <c r="D12" s="78">
        <v>0.05</v>
      </c>
    </row>
    <row r="13" spans="1:6" x14ac:dyDescent="0.25">
      <c r="A13" s="22" t="s">
        <v>43</v>
      </c>
      <c r="D13" s="78">
        <f>TDIST(D10,D11,2)</f>
        <v>4.8651077362410929E-3</v>
      </c>
      <c r="F13" s="14" t="s">
        <v>417</v>
      </c>
    </row>
    <row r="14" spans="1:6" x14ac:dyDescent="0.25">
      <c r="A14" s="22" t="s">
        <v>44</v>
      </c>
      <c r="D14" s="78">
        <f>TINV(D12,D11)</f>
        <v>2.0395134463964082</v>
      </c>
      <c r="F14" s="14" t="s">
        <v>418</v>
      </c>
    </row>
    <row r="15" spans="1:6" x14ac:dyDescent="0.25">
      <c r="A15" s="22" t="s">
        <v>111</v>
      </c>
      <c r="D15" s="55" t="str">
        <f>IF(D13&lt;D12,"yes","no")</f>
        <v>yes</v>
      </c>
      <c r="F15" s="14" t="s">
        <v>419</v>
      </c>
    </row>
    <row r="17" spans="1:4" x14ac:dyDescent="0.25">
      <c r="A17" t="s">
        <v>402</v>
      </c>
      <c r="D17" s="106">
        <f>SQRT(D10^2/(D10^2+D11))</f>
        <v>0.47835442106865922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8"/>
  <dimension ref="A1:Q19"/>
  <sheetViews>
    <sheetView workbookViewId="0"/>
  </sheetViews>
  <sheetFormatPr defaultRowHeight="15" x14ac:dyDescent="0.25"/>
  <cols>
    <col min="1" max="1" width="5.85546875" customWidth="1"/>
    <col min="2" max="5" width="10.140625" customWidth="1"/>
    <col min="6" max="6" width="10.7109375" customWidth="1"/>
    <col min="7" max="10" width="10.140625" customWidth="1"/>
    <col min="12" max="12" width="16.85546875" customWidth="1"/>
    <col min="16" max="16" width="4.28515625" customWidth="1"/>
    <col min="17" max="17" width="25" customWidth="1"/>
  </cols>
  <sheetData>
    <row r="1" spans="1:17" x14ac:dyDescent="0.25">
      <c r="A1" s="1" t="s">
        <v>752</v>
      </c>
      <c r="L1" s="1" t="s">
        <v>752</v>
      </c>
    </row>
    <row r="3" spans="1:17" x14ac:dyDescent="0.25">
      <c r="B3" t="s">
        <v>18</v>
      </c>
      <c r="G3" t="s">
        <v>3</v>
      </c>
      <c r="M3" s="143" t="s">
        <v>20</v>
      </c>
      <c r="N3" s="143" t="s">
        <v>27</v>
      </c>
    </row>
    <row r="4" spans="1:17" x14ac:dyDescent="0.25">
      <c r="L4" t="s">
        <v>392</v>
      </c>
      <c r="M4" s="61">
        <f>'ANCOVA 2'!C57</f>
        <v>30.053840521389958</v>
      </c>
      <c r="N4" s="118">
        <f>'ANCOVA 2'!C59</f>
        <v>18.597272845501461</v>
      </c>
      <c r="O4" s="57">
        <f>ABS(M4-N4)</f>
        <v>11.456567675888497</v>
      </c>
      <c r="Q4" s="14" t="e">
        <f ca="1">FTEXT(O4)</f>
        <v>#NAME?</v>
      </c>
    </row>
    <row r="5" spans="1:17" x14ac:dyDescent="0.25">
      <c r="B5" s="138" t="s">
        <v>19</v>
      </c>
      <c r="C5" s="138" t="s">
        <v>20</v>
      </c>
      <c r="D5" s="138" t="s">
        <v>26</v>
      </c>
      <c r="E5" s="140" t="s">
        <v>27</v>
      </c>
      <c r="G5" s="138" t="s">
        <v>19</v>
      </c>
      <c r="H5" s="138" t="s">
        <v>20</v>
      </c>
      <c r="I5" s="138" t="s">
        <v>26</v>
      </c>
      <c r="J5" s="140" t="s">
        <v>27</v>
      </c>
      <c r="L5" t="s">
        <v>393</v>
      </c>
      <c r="M5" s="107">
        <f>'ANCOVA 1'!H16</f>
        <v>60.262500000000003</v>
      </c>
      <c r="N5" s="108">
        <f>'ANCOVA 1'!J16</f>
        <v>40.129999999999995</v>
      </c>
      <c r="O5" s="78">
        <f>(M5-N5)^2</f>
        <v>405.31755625000028</v>
      </c>
      <c r="Q5" s="14" t="e">
        <f ca="1">FTEXT(O5)</f>
        <v>#NAME?</v>
      </c>
    </row>
    <row r="6" spans="1:17" x14ac:dyDescent="0.25">
      <c r="B6">
        <v>12</v>
      </c>
      <c r="C6">
        <v>45</v>
      </c>
      <c r="D6">
        <v>20</v>
      </c>
      <c r="E6">
        <v>12</v>
      </c>
      <c r="G6">
        <v>17.5</v>
      </c>
      <c r="H6">
        <v>70.8</v>
      </c>
      <c r="I6">
        <v>71.400000000000006</v>
      </c>
      <c r="J6">
        <v>35</v>
      </c>
      <c r="L6" t="s">
        <v>394</v>
      </c>
      <c r="M6" s="52">
        <f>COUNT('ANCOVA 1'!C6:C15)</f>
        <v>8</v>
      </c>
      <c r="N6" s="56">
        <f>COUNT('ANCOVA 1'!E6:E15)</f>
        <v>10</v>
      </c>
      <c r="O6" s="58">
        <f>1/M6+1/N6</f>
        <v>0.22500000000000001</v>
      </c>
      <c r="Q6" s="14" t="e">
        <f ca="1">FTEXT(O6)</f>
        <v>#NAME?</v>
      </c>
    </row>
    <row r="7" spans="1:17" x14ac:dyDescent="0.25">
      <c r="B7">
        <v>39</v>
      </c>
      <c r="C7">
        <v>37</v>
      </c>
      <c r="D7">
        <v>42</v>
      </c>
      <c r="E7">
        <v>10</v>
      </c>
      <c r="G7">
        <v>104.60000000000001</v>
      </c>
      <c r="H7">
        <v>45.9</v>
      </c>
      <c r="I7">
        <v>55</v>
      </c>
      <c r="J7">
        <v>33</v>
      </c>
      <c r="L7" t="s">
        <v>747</v>
      </c>
      <c r="M7" s="7"/>
      <c r="N7" s="7"/>
      <c r="O7" s="255" t="e">
        <f ca="1">SSBet(G6:J15)</f>
        <v>#NAME?</v>
      </c>
      <c r="Q7" s="14" t="e">
        <f ca="1">FTEXT(O7)</f>
        <v>#NAME?</v>
      </c>
    </row>
    <row r="8" spans="1:17" x14ac:dyDescent="0.25">
      <c r="B8">
        <v>36</v>
      </c>
      <c r="C8">
        <v>13</v>
      </c>
      <c r="D8">
        <v>31</v>
      </c>
      <c r="E8">
        <v>19</v>
      </c>
      <c r="G8">
        <v>64.7</v>
      </c>
      <c r="H8">
        <v>47.5</v>
      </c>
      <c r="I8">
        <v>54</v>
      </c>
      <c r="J8">
        <v>34.200000000000003</v>
      </c>
      <c r="L8" t="s">
        <v>746</v>
      </c>
      <c r="M8" s="7"/>
      <c r="N8" s="7"/>
      <c r="O8" s="78" t="e">
        <f ca="1">SSW(G6:J15)</f>
        <v>#NAME?</v>
      </c>
      <c r="Q8" s="14" t="e">
        <f ca="1">FTEXT(O8)</f>
        <v>#NAME?</v>
      </c>
    </row>
    <row r="9" spans="1:17" x14ac:dyDescent="0.25">
      <c r="B9">
        <v>17</v>
      </c>
      <c r="C9">
        <v>50</v>
      </c>
      <c r="D9">
        <v>24</v>
      </c>
      <c r="E9">
        <v>18</v>
      </c>
      <c r="G9">
        <v>47</v>
      </c>
      <c r="H9">
        <v>77.8</v>
      </c>
      <c r="I9">
        <v>27.9</v>
      </c>
      <c r="J9">
        <v>43.2</v>
      </c>
      <c r="L9" t="s">
        <v>109</v>
      </c>
      <c r="M9" s="7"/>
      <c r="N9" s="7"/>
      <c r="O9" s="78">
        <f>'ANCOVA 2'!M8</f>
        <v>57.049106859319657</v>
      </c>
      <c r="Q9" s="14" t="s">
        <v>749</v>
      </c>
    </row>
    <row r="10" spans="1:17" x14ac:dyDescent="0.25">
      <c r="B10">
        <v>25</v>
      </c>
      <c r="C10">
        <v>35</v>
      </c>
      <c r="D10">
        <v>15</v>
      </c>
      <c r="E10">
        <v>14</v>
      </c>
      <c r="G10">
        <v>22</v>
      </c>
      <c r="H10">
        <v>70.900000000000006</v>
      </c>
      <c r="I10">
        <v>40.599999999999994</v>
      </c>
      <c r="J10">
        <v>20</v>
      </c>
      <c r="L10" t="s">
        <v>34</v>
      </c>
      <c r="O10" s="78">
        <f>COUNTA(G5:J5)</f>
        <v>4</v>
      </c>
      <c r="Q10" s="14" t="e">
        <f ca="1">FTEXT(O10)</f>
        <v>#NAME?</v>
      </c>
    </row>
    <row r="11" spans="1:17" x14ac:dyDescent="0.25">
      <c r="B11">
        <v>15</v>
      </c>
      <c r="C11">
        <v>40</v>
      </c>
      <c r="D11">
        <v>13</v>
      </c>
      <c r="E11">
        <v>8</v>
      </c>
      <c r="G11">
        <v>12.4</v>
      </c>
      <c r="H11">
        <v>84.8</v>
      </c>
      <c r="I11">
        <v>33</v>
      </c>
      <c r="J11">
        <v>37</v>
      </c>
      <c r="L11" t="s">
        <v>16</v>
      </c>
      <c r="O11" s="78">
        <f>COUNT(G6:J15)</f>
        <v>36</v>
      </c>
      <c r="Q11" s="14" t="e">
        <f ca="1">FTEXT(O11)</f>
        <v>#NAME?</v>
      </c>
    </row>
    <row r="12" spans="1:17" x14ac:dyDescent="0.25">
      <c r="B12">
        <v>8</v>
      </c>
      <c r="C12">
        <v>33</v>
      </c>
      <c r="D12">
        <v>9</v>
      </c>
      <c r="E12">
        <v>7</v>
      </c>
      <c r="G12">
        <v>20</v>
      </c>
      <c r="H12">
        <v>49.8</v>
      </c>
      <c r="I12">
        <v>22.2</v>
      </c>
      <c r="J12">
        <v>28.2</v>
      </c>
      <c r="L12" t="s">
        <v>748</v>
      </c>
      <c r="O12" s="78" t="e">
        <f ca="1">O9*(1+O7/((O10-1)*O8))</f>
        <v>#NAME?</v>
      </c>
      <c r="Q12" s="14" t="e">
        <f ca="1">FTEXT(O12)</f>
        <v>#NAME?</v>
      </c>
    </row>
    <row r="13" spans="1:17" x14ac:dyDescent="0.25">
      <c r="B13">
        <v>31</v>
      </c>
      <c r="C13">
        <v>17</v>
      </c>
      <c r="D13">
        <v>21</v>
      </c>
      <c r="E13">
        <v>19</v>
      </c>
      <c r="G13">
        <v>79.7</v>
      </c>
      <c r="H13">
        <v>34.599999999999994</v>
      </c>
      <c r="I13">
        <v>80.5</v>
      </c>
      <c r="J13">
        <v>46.400000000000006</v>
      </c>
      <c r="L13" t="s">
        <v>96</v>
      </c>
      <c r="O13" s="78" t="e">
        <f ca="1">SQRT(O12*O6/2)</f>
        <v>#NAME?</v>
      </c>
      <c r="Q13" s="14" t="e">
        <f ca="1">FTEXT(O13)</f>
        <v>#NAME?</v>
      </c>
    </row>
    <row r="14" spans="1:17" x14ac:dyDescent="0.25">
      <c r="D14">
        <v>31</v>
      </c>
      <c r="E14">
        <v>25</v>
      </c>
      <c r="I14">
        <v>80</v>
      </c>
      <c r="J14">
        <v>64.900000000000006</v>
      </c>
      <c r="L14" t="s">
        <v>497</v>
      </c>
      <c r="O14" s="78" t="e">
        <f ca="1">O4/O13</f>
        <v>#NAME?</v>
      </c>
      <c r="Q14" s="14" t="e">
        <f ca="1">FTEXT(O14)</f>
        <v>#NAME?</v>
      </c>
    </row>
    <row r="15" spans="1:17" x14ac:dyDescent="0.25">
      <c r="B15" s="53"/>
      <c r="C15" s="53"/>
      <c r="D15" s="53">
        <v>13</v>
      </c>
      <c r="E15" s="53">
        <v>26</v>
      </c>
      <c r="G15" s="53"/>
      <c r="H15" s="53"/>
      <c r="I15" s="53">
        <v>41</v>
      </c>
      <c r="J15" s="53">
        <v>59.4</v>
      </c>
      <c r="L15" t="s">
        <v>37</v>
      </c>
      <c r="O15" s="78">
        <f>O11-O10-1</f>
        <v>31</v>
      </c>
      <c r="Q15" s="14" t="e">
        <f ca="1">FTEXT(O15)</f>
        <v>#NAME?</v>
      </c>
    </row>
    <row r="16" spans="1:17" x14ac:dyDescent="0.25">
      <c r="A16" t="s">
        <v>6</v>
      </c>
      <c r="B16">
        <f>AVERAGE(B6:B15)</f>
        <v>22.875</v>
      </c>
      <c r="C16">
        <f>AVERAGE(C6:C15)</f>
        <v>33.75</v>
      </c>
      <c r="D16">
        <f>AVERAGE(D6:D15)</f>
        <v>21.9</v>
      </c>
      <c r="E16">
        <f>AVERAGE(E6:E15)</f>
        <v>15.8</v>
      </c>
      <c r="G16">
        <f>AVERAGE(G6:G15)</f>
        <v>45.987499999999997</v>
      </c>
      <c r="H16">
        <f>AVERAGE(H6:H15)</f>
        <v>60.262500000000003</v>
      </c>
      <c r="I16">
        <f>AVERAGE(I6:I15)</f>
        <v>50.559999999999995</v>
      </c>
      <c r="J16">
        <f>AVERAGE(J6:J15)</f>
        <v>40.129999999999995</v>
      </c>
      <c r="L16" s="22" t="s">
        <v>28</v>
      </c>
      <c r="O16" s="78">
        <v>0.05</v>
      </c>
      <c r="Q16" s="14"/>
    </row>
    <row r="17" spans="1:17" x14ac:dyDescent="0.25">
      <c r="A17" t="s">
        <v>7</v>
      </c>
      <c r="B17" s="53">
        <f>VAR(B6:B15)</f>
        <v>134.125</v>
      </c>
      <c r="C17" s="53">
        <f>VAR(C6:C15)</f>
        <v>164.78571428571428</v>
      </c>
      <c r="D17" s="53">
        <f>VAR(D6:D15)</f>
        <v>105.65555555555551</v>
      </c>
      <c r="E17" s="53">
        <f>VAR(E6:E15)</f>
        <v>44.844444444444434</v>
      </c>
      <c r="G17" s="53">
        <f>VAR(G6:G15)</f>
        <v>1159.0783928571432</v>
      </c>
      <c r="H17" s="53">
        <f>VAR(H6:H15)</f>
        <v>324.43410714285659</v>
      </c>
      <c r="I17" s="53">
        <f>VAR(I6:I15)</f>
        <v>449.52044444444499</v>
      </c>
      <c r="J17" s="53">
        <f>VAR(J6:J15)</f>
        <v>189.25344444444514</v>
      </c>
      <c r="L17" s="22" t="s">
        <v>113</v>
      </c>
      <c r="O17" s="78" t="e">
        <f ca="1">QCRIT(O10,O15,O16)</f>
        <v>#NAME?</v>
      </c>
      <c r="Q17" s="14" t="e">
        <f ca="1">FTEXT(O17)</f>
        <v>#NAME?</v>
      </c>
    </row>
    <row r="18" spans="1:17" x14ac:dyDescent="0.25">
      <c r="L18" s="22" t="s">
        <v>43</v>
      </c>
      <c r="O18" s="78" t="e">
        <f ca="1">QDIST(ABS(O14),O10,O15)</f>
        <v>#NAME?</v>
      </c>
      <c r="Q18" s="14" t="e">
        <f ca="1">FTEXT(O18)</f>
        <v>#NAME?</v>
      </c>
    </row>
    <row r="19" spans="1:17" x14ac:dyDescent="0.25">
      <c r="L19" s="22" t="s">
        <v>111</v>
      </c>
      <c r="O19" s="55" t="e">
        <f ca="1">IF(O17&lt;O14,"yes","no")</f>
        <v>#NAME?</v>
      </c>
      <c r="Q19" s="14" t="e">
        <f ca="1">FTEXT(O19)</f>
        <v>#NAME?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6"/>
  <dimension ref="A1:N38"/>
  <sheetViews>
    <sheetView workbookViewId="0"/>
  </sheetViews>
  <sheetFormatPr defaultRowHeight="15" x14ac:dyDescent="0.25"/>
  <cols>
    <col min="1" max="1" width="5.85546875" customWidth="1"/>
    <col min="2" max="5" width="10.140625" customWidth="1"/>
    <col min="6" max="6" width="5.28515625" customWidth="1"/>
    <col min="7" max="10" width="10.140625" customWidth="1"/>
    <col min="11" max="11" width="4" customWidth="1"/>
  </cols>
  <sheetData>
    <row r="1" spans="1:14" x14ac:dyDescent="0.25">
      <c r="A1" s="1" t="s">
        <v>739</v>
      </c>
    </row>
    <row r="3" spans="1:14" x14ac:dyDescent="0.25">
      <c r="B3" t="s">
        <v>18</v>
      </c>
      <c r="G3" t="s">
        <v>3</v>
      </c>
      <c r="L3" t="e">
        <f t="array" aca="1" ref="L3:N38" ca="1">Ancova1Std(B5:E15,G5:J15)</f>
        <v>#NAME?</v>
      </c>
      <c r="M3" t="e">
        <f ca="1"/>
        <v>#NAME?</v>
      </c>
      <c r="N3" t="e">
        <f ca="1"/>
        <v>#NAME?</v>
      </c>
    </row>
    <row r="4" spans="1:14" x14ac:dyDescent="0.25">
      <c r="L4" t="e">
        <f ca="1"/>
        <v>#NAME?</v>
      </c>
      <c r="M4" t="e">
        <f ca="1"/>
        <v>#NAME?</v>
      </c>
      <c r="N4" t="e">
        <f ca="1"/>
        <v>#NAME?</v>
      </c>
    </row>
    <row r="5" spans="1:14" x14ac:dyDescent="0.25">
      <c r="B5" s="315" t="s">
        <v>19</v>
      </c>
      <c r="C5" s="315" t="s">
        <v>20</v>
      </c>
      <c r="D5" s="315" t="s">
        <v>26</v>
      </c>
      <c r="E5" s="316" t="s">
        <v>27</v>
      </c>
      <c r="G5" s="315" t="s">
        <v>19</v>
      </c>
      <c r="H5" s="315" t="s">
        <v>20</v>
      </c>
      <c r="I5" s="315" t="s">
        <v>26</v>
      </c>
      <c r="J5" s="316" t="s">
        <v>27</v>
      </c>
      <c r="L5" t="e">
        <f ca="1"/>
        <v>#NAME?</v>
      </c>
      <c r="M5" t="e">
        <f ca="1"/>
        <v>#NAME?</v>
      </c>
      <c r="N5" t="e">
        <f ca="1"/>
        <v>#NAME?</v>
      </c>
    </row>
    <row r="6" spans="1:14" x14ac:dyDescent="0.25">
      <c r="B6">
        <v>12</v>
      </c>
      <c r="C6">
        <v>45</v>
      </c>
      <c r="D6">
        <v>20</v>
      </c>
      <c r="E6">
        <v>12</v>
      </c>
      <c r="G6">
        <v>17.5</v>
      </c>
      <c r="H6">
        <v>70.8</v>
      </c>
      <c r="I6">
        <v>71.400000000000006</v>
      </c>
      <c r="J6">
        <v>35</v>
      </c>
      <c r="L6" t="e">
        <f ca="1"/>
        <v>#NAME?</v>
      </c>
      <c r="M6" t="e">
        <f ca="1"/>
        <v>#NAME?</v>
      </c>
      <c r="N6" t="e">
        <f ca="1"/>
        <v>#NAME?</v>
      </c>
    </row>
    <row r="7" spans="1:14" x14ac:dyDescent="0.25">
      <c r="B7">
        <v>39</v>
      </c>
      <c r="C7">
        <v>37</v>
      </c>
      <c r="D7">
        <v>42</v>
      </c>
      <c r="E7">
        <v>10</v>
      </c>
      <c r="G7">
        <v>104.60000000000001</v>
      </c>
      <c r="H7">
        <v>45.9</v>
      </c>
      <c r="I7">
        <v>55</v>
      </c>
      <c r="J7">
        <v>33</v>
      </c>
      <c r="L7" t="e">
        <f ca="1"/>
        <v>#NAME?</v>
      </c>
      <c r="M7" t="e">
        <f ca="1"/>
        <v>#NAME?</v>
      </c>
      <c r="N7" t="e">
        <f ca="1"/>
        <v>#NAME?</v>
      </c>
    </row>
    <row r="8" spans="1:14" x14ac:dyDescent="0.25">
      <c r="B8">
        <v>36</v>
      </c>
      <c r="C8">
        <v>13</v>
      </c>
      <c r="D8">
        <v>31</v>
      </c>
      <c r="E8">
        <v>19</v>
      </c>
      <c r="G8">
        <v>64.7</v>
      </c>
      <c r="H8">
        <v>47.5</v>
      </c>
      <c r="I8">
        <v>54</v>
      </c>
      <c r="J8">
        <v>34.200000000000003</v>
      </c>
      <c r="L8" t="e">
        <f ca="1"/>
        <v>#NAME?</v>
      </c>
      <c r="M8" t="e">
        <f ca="1"/>
        <v>#NAME?</v>
      </c>
      <c r="N8" t="e">
        <f ca="1"/>
        <v>#NAME?</v>
      </c>
    </row>
    <row r="9" spans="1:14" x14ac:dyDescent="0.25">
      <c r="B9">
        <v>17</v>
      </c>
      <c r="C9">
        <v>50</v>
      </c>
      <c r="D9">
        <v>24</v>
      </c>
      <c r="E9">
        <v>18</v>
      </c>
      <c r="G9">
        <v>47</v>
      </c>
      <c r="H9">
        <v>77.8</v>
      </c>
      <c r="I9">
        <v>27.9</v>
      </c>
      <c r="J9">
        <v>43.2</v>
      </c>
      <c r="L9" t="e">
        <f ca="1"/>
        <v>#NAME?</v>
      </c>
      <c r="M9" t="e">
        <f ca="1"/>
        <v>#NAME?</v>
      </c>
      <c r="N9" t="e">
        <f ca="1"/>
        <v>#NAME?</v>
      </c>
    </row>
    <row r="10" spans="1:14" x14ac:dyDescent="0.25">
      <c r="B10">
        <v>25</v>
      </c>
      <c r="C10">
        <v>35</v>
      </c>
      <c r="D10">
        <v>15</v>
      </c>
      <c r="E10">
        <v>14</v>
      </c>
      <c r="G10">
        <v>22</v>
      </c>
      <c r="H10">
        <v>70.900000000000006</v>
      </c>
      <c r="I10">
        <v>40.599999999999994</v>
      </c>
      <c r="J10">
        <v>20</v>
      </c>
      <c r="L10" t="e">
        <f ca="1"/>
        <v>#NAME?</v>
      </c>
      <c r="M10" t="e">
        <f ca="1"/>
        <v>#NAME?</v>
      </c>
      <c r="N10" t="e">
        <f ca="1"/>
        <v>#NAME?</v>
      </c>
    </row>
    <row r="11" spans="1:14" x14ac:dyDescent="0.25">
      <c r="B11">
        <v>15</v>
      </c>
      <c r="C11">
        <v>40</v>
      </c>
      <c r="D11">
        <v>13</v>
      </c>
      <c r="E11">
        <v>8</v>
      </c>
      <c r="G11">
        <v>12.4</v>
      </c>
      <c r="H11">
        <v>84.8</v>
      </c>
      <c r="I11">
        <v>33</v>
      </c>
      <c r="J11">
        <v>37</v>
      </c>
      <c r="L11" t="e">
        <f ca="1"/>
        <v>#NAME?</v>
      </c>
      <c r="M11" t="e">
        <f ca="1"/>
        <v>#NAME?</v>
      </c>
      <c r="N11" t="e">
        <f ca="1"/>
        <v>#NAME?</v>
      </c>
    </row>
    <row r="12" spans="1:14" x14ac:dyDescent="0.25">
      <c r="B12">
        <v>8</v>
      </c>
      <c r="C12">
        <v>33</v>
      </c>
      <c r="D12">
        <v>9</v>
      </c>
      <c r="E12">
        <v>7</v>
      </c>
      <c r="G12">
        <v>20</v>
      </c>
      <c r="H12">
        <v>49.8</v>
      </c>
      <c r="I12">
        <v>22.2</v>
      </c>
      <c r="J12">
        <v>28.2</v>
      </c>
      <c r="L12" t="e">
        <f ca="1"/>
        <v>#NAME?</v>
      </c>
      <c r="M12" t="e">
        <f ca="1"/>
        <v>#NAME?</v>
      </c>
      <c r="N12" t="e">
        <f ca="1"/>
        <v>#NAME?</v>
      </c>
    </row>
    <row r="13" spans="1:14" x14ac:dyDescent="0.25">
      <c r="B13">
        <v>31</v>
      </c>
      <c r="C13">
        <v>17</v>
      </c>
      <c r="D13">
        <v>21</v>
      </c>
      <c r="E13">
        <v>19</v>
      </c>
      <c r="G13">
        <v>79.7</v>
      </c>
      <c r="H13">
        <v>34.599999999999994</v>
      </c>
      <c r="I13">
        <v>80.5</v>
      </c>
      <c r="J13">
        <v>46.400000000000006</v>
      </c>
      <c r="L13" t="e">
        <f ca="1"/>
        <v>#NAME?</v>
      </c>
      <c r="M13" t="e">
        <f ca="1"/>
        <v>#NAME?</v>
      </c>
      <c r="N13" t="e">
        <f ca="1"/>
        <v>#NAME?</v>
      </c>
    </row>
    <row r="14" spans="1:14" x14ac:dyDescent="0.25">
      <c r="D14">
        <v>31</v>
      </c>
      <c r="E14">
        <v>25</v>
      </c>
      <c r="I14">
        <v>80</v>
      </c>
      <c r="J14">
        <v>64.900000000000006</v>
      </c>
      <c r="L14" t="e">
        <f ca="1"/>
        <v>#NAME?</v>
      </c>
      <c r="M14" t="e">
        <f ca="1"/>
        <v>#NAME?</v>
      </c>
      <c r="N14" t="e">
        <f ca="1"/>
        <v>#NAME?</v>
      </c>
    </row>
    <row r="15" spans="1:14" x14ac:dyDescent="0.25">
      <c r="B15" s="185"/>
      <c r="C15" s="185"/>
      <c r="D15" s="185">
        <v>13</v>
      </c>
      <c r="E15" s="185">
        <v>26</v>
      </c>
      <c r="G15" s="185"/>
      <c r="H15" s="185"/>
      <c r="I15" s="185">
        <v>41</v>
      </c>
      <c r="J15" s="185">
        <v>59.4</v>
      </c>
      <c r="L15" t="e">
        <f ca="1"/>
        <v>#NAME?</v>
      </c>
      <c r="M15" t="e">
        <f ca="1"/>
        <v>#NAME?</v>
      </c>
      <c r="N15" t="e">
        <f ca="1"/>
        <v>#NAME?</v>
      </c>
    </row>
    <row r="16" spans="1:14" x14ac:dyDescent="0.25">
      <c r="A16" t="s">
        <v>6</v>
      </c>
      <c r="B16">
        <f>AVERAGE(B6:B15)</f>
        <v>22.875</v>
      </c>
      <c r="C16">
        <f>AVERAGE(C6:C15)</f>
        <v>33.75</v>
      </c>
      <c r="D16">
        <f>AVERAGE(D6:D15)</f>
        <v>21.9</v>
      </c>
      <c r="E16">
        <f>AVERAGE(E6:E15)</f>
        <v>15.8</v>
      </c>
      <c r="G16">
        <f>AVERAGE(G6:G15)</f>
        <v>45.987499999999997</v>
      </c>
      <c r="H16">
        <f>AVERAGE(H6:H15)</f>
        <v>60.262500000000003</v>
      </c>
      <c r="I16">
        <f>AVERAGE(I6:I15)</f>
        <v>50.559999999999995</v>
      </c>
      <c r="J16">
        <f>AVERAGE(J6:J15)</f>
        <v>40.129999999999995</v>
      </c>
      <c r="L16" t="e">
        <f ca="1"/>
        <v>#NAME?</v>
      </c>
      <c r="M16" t="e">
        <f ca="1"/>
        <v>#NAME?</v>
      </c>
      <c r="N16" t="e">
        <f ca="1"/>
        <v>#NAME?</v>
      </c>
    </row>
    <row r="17" spans="1:14" x14ac:dyDescent="0.25">
      <c r="A17" t="s">
        <v>7</v>
      </c>
      <c r="B17" s="185">
        <f>VAR(B6:B15)</f>
        <v>134.125</v>
      </c>
      <c r="C17" s="185">
        <f>VAR(C6:C15)</f>
        <v>164.78571428571428</v>
      </c>
      <c r="D17" s="185">
        <f>VAR(D6:D15)</f>
        <v>105.65555555555551</v>
      </c>
      <c r="E17" s="185">
        <f>VAR(E6:E15)</f>
        <v>44.844444444444434</v>
      </c>
      <c r="G17" s="185">
        <f>VAR(G6:G15)</f>
        <v>1159.0783928571432</v>
      </c>
      <c r="H17" s="185">
        <f>VAR(H6:H15)</f>
        <v>324.43410714285659</v>
      </c>
      <c r="I17" s="185">
        <f>VAR(I6:I15)</f>
        <v>449.52044444444499</v>
      </c>
      <c r="J17" s="185">
        <f>VAR(J6:J15)</f>
        <v>189.25344444444514</v>
      </c>
      <c r="L17" t="e">
        <f ca="1"/>
        <v>#NAME?</v>
      </c>
      <c r="M17" t="e">
        <f ca="1"/>
        <v>#NAME?</v>
      </c>
      <c r="N17" t="e">
        <f ca="1"/>
        <v>#NAME?</v>
      </c>
    </row>
    <row r="18" spans="1:14" x14ac:dyDescent="0.25">
      <c r="L18" t="e">
        <f ca="1"/>
        <v>#NAME?</v>
      </c>
      <c r="M18" t="e">
        <f ca="1"/>
        <v>#NAME?</v>
      </c>
      <c r="N18" t="e">
        <f ca="1"/>
        <v>#NAME?</v>
      </c>
    </row>
    <row r="19" spans="1:14" x14ac:dyDescent="0.25">
      <c r="L19" t="e">
        <f ca="1"/>
        <v>#NAME?</v>
      </c>
      <c r="M19" t="e">
        <f ca="1"/>
        <v>#NAME?</v>
      </c>
      <c r="N19" t="e">
        <f ca="1"/>
        <v>#NAME?</v>
      </c>
    </row>
    <row r="20" spans="1:14" x14ac:dyDescent="0.25">
      <c r="L20" t="e">
        <f ca="1"/>
        <v>#NAME?</v>
      </c>
      <c r="M20" t="e">
        <f ca="1"/>
        <v>#NAME?</v>
      </c>
      <c r="N20" t="e">
        <f ca="1"/>
        <v>#NAME?</v>
      </c>
    </row>
    <row r="21" spans="1:14" x14ac:dyDescent="0.25">
      <c r="L21" t="e">
        <f ca="1"/>
        <v>#NAME?</v>
      </c>
      <c r="M21" t="e">
        <f ca="1"/>
        <v>#NAME?</v>
      </c>
      <c r="N21" t="e">
        <f ca="1"/>
        <v>#NAME?</v>
      </c>
    </row>
    <row r="22" spans="1:14" x14ac:dyDescent="0.25">
      <c r="L22" t="e">
        <f ca="1"/>
        <v>#NAME?</v>
      </c>
      <c r="M22" t="e">
        <f ca="1"/>
        <v>#NAME?</v>
      </c>
      <c r="N22" t="e">
        <f ca="1"/>
        <v>#NAME?</v>
      </c>
    </row>
    <row r="23" spans="1:14" x14ac:dyDescent="0.25">
      <c r="L23" t="e">
        <f ca="1"/>
        <v>#NAME?</v>
      </c>
      <c r="M23" t="e">
        <f ca="1"/>
        <v>#NAME?</v>
      </c>
      <c r="N23" t="e">
        <f ca="1"/>
        <v>#NAME?</v>
      </c>
    </row>
    <row r="24" spans="1:14" x14ac:dyDescent="0.25">
      <c r="L24" t="e">
        <f ca="1"/>
        <v>#NAME?</v>
      </c>
      <c r="M24" t="e">
        <f ca="1"/>
        <v>#NAME?</v>
      </c>
      <c r="N24" t="e">
        <f ca="1"/>
        <v>#NAME?</v>
      </c>
    </row>
    <row r="25" spans="1:14" x14ac:dyDescent="0.25">
      <c r="L25" t="e">
        <f ca="1"/>
        <v>#NAME?</v>
      </c>
      <c r="M25" t="e">
        <f ca="1"/>
        <v>#NAME?</v>
      </c>
      <c r="N25" t="e">
        <f ca="1"/>
        <v>#NAME?</v>
      </c>
    </row>
    <row r="26" spans="1:14" x14ac:dyDescent="0.25">
      <c r="L26" t="e">
        <f ca="1"/>
        <v>#NAME?</v>
      </c>
      <c r="M26" t="e">
        <f ca="1"/>
        <v>#NAME?</v>
      </c>
      <c r="N26" t="e">
        <f ca="1"/>
        <v>#NAME?</v>
      </c>
    </row>
    <row r="27" spans="1:14" x14ac:dyDescent="0.25">
      <c r="L27" t="e">
        <f ca="1"/>
        <v>#NAME?</v>
      </c>
      <c r="M27" t="e">
        <f ca="1"/>
        <v>#NAME?</v>
      </c>
      <c r="N27" t="e">
        <f ca="1"/>
        <v>#NAME?</v>
      </c>
    </row>
    <row r="28" spans="1:14" x14ac:dyDescent="0.25">
      <c r="L28" t="e">
        <f ca="1"/>
        <v>#NAME?</v>
      </c>
      <c r="M28" t="e">
        <f ca="1"/>
        <v>#NAME?</v>
      </c>
      <c r="N28" t="e">
        <f ca="1"/>
        <v>#NAME?</v>
      </c>
    </row>
    <row r="29" spans="1:14" x14ac:dyDescent="0.25">
      <c r="L29" t="e">
        <f ca="1"/>
        <v>#NAME?</v>
      </c>
      <c r="M29" t="e">
        <f ca="1"/>
        <v>#NAME?</v>
      </c>
      <c r="N29" t="e">
        <f ca="1"/>
        <v>#NAME?</v>
      </c>
    </row>
    <row r="30" spans="1:14" x14ac:dyDescent="0.25">
      <c r="L30" t="e">
        <f ca="1"/>
        <v>#NAME?</v>
      </c>
      <c r="M30" t="e">
        <f ca="1"/>
        <v>#NAME?</v>
      </c>
      <c r="N30" t="e">
        <f ca="1"/>
        <v>#NAME?</v>
      </c>
    </row>
    <row r="31" spans="1:14" x14ac:dyDescent="0.25">
      <c r="L31" t="e">
        <f ca="1"/>
        <v>#NAME?</v>
      </c>
      <c r="M31" t="e">
        <f ca="1"/>
        <v>#NAME?</v>
      </c>
      <c r="N31" t="e">
        <f ca="1"/>
        <v>#NAME?</v>
      </c>
    </row>
    <row r="32" spans="1:14" x14ac:dyDescent="0.25">
      <c r="L32" t="e">
        <f ca="1"/>
        <v>#NAME?</v>
      </c>
      <c r="M32" t="e">
        <f ca="1"/>
        <v>#NAME?</v>
      </c>
      <c r="N32" t="e">
        <f ca="1"/>
        <v>#NAME?</v>
      </c>
    </row>
    <row r="33" spans="12:14" x14ac:dyDescent="0.25">
      <c r="L33" t="e">
        <f ca="1"/>
        <v>#NAME?</v>
      </c>
      <c r="M33" t="e">
        <f ca="1"/>
        <v>#NAME?</v>
      </c>
      <c r="N33" t="e">
        <f ca="1"/>
        <v>#NAME?</v>
      </c>
    </row>
    <row r="34" spans="12:14" x14ac:dyDescent="0.25">
      <c r="L34" t="e">
        <f ca="1"/>
        <v>#NAME?</v>
      </c>
      <c r="M34" t="e">
        <f ca="1"/>
        <v>#NAME?</v>
      </c>
      <c r="N34" t="e">
        <f ca="1"/>
        <v>#NAME?</v>
      </c>
    </row>
    <row r="35" spans="12:14" x14ac:dyDescent="0.25">
      <c r="L35" t="e">
        <f ca="1"/>
        <v>#NAME?</v>
      </c>
      <c r="M35" t="e">
        <f ca="1"/>
        <v>#NAME?</v>
      </c>
      <c r="N35" t="e">
        <f ca="1"/>
        <v>#NAME?</v>
      </c>
    </row>
    <row r="36" spans="12:14" x14ac:dyDescent="0.25">
      <c r="L36" t="e">
        <f ca="1"/>
        <v>#NAME?</v>
      </c>
      <c r="M36" t="e">
        <f ca="1"/>
        <v>#NAME?</v>
      </c>
      <c r="N36" t="e">
        <f ca="1"/>
        <v>#NAME?</v>
      </c>
    </row>
    <row r="37" spans="12:14" x14ac:dyDescent="0.25">
      <c r="L37" t="e">
        <f ca="1"/>
        <v>#NAME?</v>
      </c>
      <c r="M37" t="e">
        <f ca="1"/>
        <v>#NAME?</v>
      </c>
      <c r="N37" t="e">
        <f ca="1"/>
        <v>#NAME?</v>
      </c>
    </row>
    <row r="38" spans="12:14" x14ac:dyDescent="0.25">
      <c r="L38" t="e">
        <f ca="1"/>
        <v>#NAME?</v>
      </c>
      <c r="M38" t="e">
        <f ca="1"/>
        <v>#NAME?</v>
      </c>
      <c r="N38" t="e">
        <f ca="1"/>
        <v>#NAME?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AO36"/>
  <sheetViews>
    <sheetView workbookViewId="0"/>
  </sheetViews>
  <sheetFormatPr defaultRowHeight="15" x14ac:dyDescent="0.25"/>
  <cols>
    <col min="1" max="1" width="5.85546875" customWidth="1"/>
    <col min="2" max="5" width="10.140625" customWidth="1"/>
    <col min="6" max="6" width="4.42578125" customWidth="1"/>
    <col min="7" max="10" width="10.140625" customWidth="1"/>
    <col min="11" max="11" width="3.5703125" customWidth="1"/>
  </cols>
  <sheetData>
    <row r="1" spans="1:41" x14ac:dyDescent="0.25">
      <c r="A1" s="1" t="s">
        <v>740</v>
      </c>
      <c r="L1" s="446" t="e">
        <f t="array" aca="1" ref="L1:N36" ca="1">Ancova1Std(B5:E15,G5:J15)</f>
        <v>#NAME?</v>
      </c>
      <c r="M1" s="447" t="e">
        <f ca="1"/>
        <v>#NAME?</v>
      </c>
      <c r="N1" s="448" t="e">
        <f ca="1"/>
        <v>#NAME?</v>
      </c>
      <c r="P1" t="s">
        <v>598</v>
      </c>
    </row>
    <row r="2" spans="1:41" x14ac:dyDescent="0.25">
      <c r="L2" s="428" t="e">
        <f ca="1"/>
        <v>#NAME?</v>
      </c>
      <c r="M2" s="7" t="e">
        <f ca="1"/>
        <v>#NAME?</v>
      </c>
      <c r="N2" s="35" t="e">
        <f ca="1"/>
        <v>#NAME?</v>
      </c>
    </row>
    <row r="3" spans="1:41" ht="15.75" thickBot="1" x14ac:dyDescent="0.3">
      <c r="B3" t="s">
        <v>18</v>
      </c>
      <c r="G3" t="s">
        <v>3</v>
      </c>
      <c r="L3" s="428" t="e">
        <f ca="1"/>
        <v>#NAME?</v>
      </c>
      <c r="M3" s="7" t="e">
        <f ca="1"/>
        <v>#NAME?</v>
      </c>
      <c r="N3" s="35" t="e">
        <f ca="1"/>
        <v>#NAME?</v>
      </c>
      <c r="P3" t="s">
        <v>353</v>
      </c>
      <c r="W3" t="s">
        <v>754</v>
      </c>
      <c r="AG3" t="s">
        <v>753</v>
      </c>
      <c r="AL3" t="s">
        <v>17</v>
      </c>
      <c r="AM3">
        <v>0.05</v>
      </c>
    </row>
    <row r="4" spans="1:41" ht="15.75" thickTop="1" x14ac:dyDescent="0.25">
      <c r="L4" s="428" t="e">
        <f ca="1"/>
        <v>#NAME?</v>
      </c>
      <c r="M4" s="7" t="e">
        <f ca="1"/>
        <v>#NAME?</v>
      </c>
      <c r="N4" s="35" t="e">
        <f ca="1"/>
        <v>#NAME?</v>
      </c>
      <c r="P4" s="191"/>
      <c r="Q4" s="191" t="s">
        <v>76</v>
      </c>
      <c r="R4" s="191" t="s">
        <v>37</v>
      </c>
      <c r="S4" s="191" t="s">
        <v>78</v>
      </c>
      <c r="T4" s="191" t="s">
        <v>68</v>
      </c>
      <c r="U4" s="191" t="s">
        <v>43</v>
      </c>
      <c r="W4" s="191" t="s">
        <v>825</v>
      </c>
      <c r="X4" s="191" t="s">
        <v>829</v>
      </c>
      <c r="Y4" s="191" t="s">
        <v>599</v>
      </c>
      <c r="Z4" s="191" t="s">
        <v>75</v>
      </c>
      <c r="AA4" s="191" t="s">
        <v>742</v>
      </c>
      <c r="AB4" s="191" t="s">
        <v>744</v>
      </c>
      <c r="AG4" s="191" t="s">
        <v>825</v>
      </c>
      <c r="AH4" s="191" t="s">
        <v>599</v>
      </c>
      <c r="AI4" s="191" t="s">
        <v>75</v>
      </c>
      <c r="AJ4" s="191" t="s">
        <v>742</v>
      </c>
      <c r="AK4" s="191" t="s">
        <v>743</v>
      </c>
      <c r="AL4" s="191" t="s">
        <v>744</v>
      </c>
      <c r="AM4" s="191" t="s">
        <v>745</v>
      </c>
      <c r="AN4" s="191" t="s">
        <v>37</v>
      </c>
      <c r="AO4" s="191" t="s">
        <v>113</v>
      </c>
    </row>
    <row r="5" spans="1:41" x14ac:dyDescent="0.25">
      <c r="B5" s="449" t="s">
        <v>19</v>
      </c>
      <c r="C5" s="449" t="s">
        <v>20</v>
      </c>
      <c r="D5" s="449" t="s">
        <v>26</v>
      </c>
      <c r="E5" s="450" t="s">
        <v>27</v>
      </c>
      <c r="G5" s="449" t="s">
        <v>19</v>
      </c>
      <c r="H5" s="449" t="s">
        <v>20</v>
      </c>
      <c r="I5" s="449" t="s">
        <v>26</v>
      </c>
      <c r="J5" s="450" t="s">
        <v>27</v>
      </c>
      <c r="L5" s="428" t="e">
        <f ca="1"/>
        <v>#NAME?</v>
      </c>
      <c r="M5" s="7" t="e">
        <f ca="1"/>
        <v>#NAME?</v>
      </c>
      <c r="N5" s="35" t="e">
        <f ca="1"/>
        <v>#NAME?</v>
      </c>
      <c r="P5" t="s">
        <v>361</v>
      </c>
      <c r="Q5" t="e">
        <f t="array" aca="1" ref="Q5:Q7" ca="1">SSAncova(L1:N36)</f>
        <v>#NAME?</v>
      </c>
      <c r="R5">
        <f ca="1">COUNTA(L1:N1)-2</f>
        <v>1</v>
      </c>
      <c r="S5" t="e">
        <f ca="1">Q5/R5</f>
        <v>#NAME?</v>
      </c>
      <c r="T5" t="e">
        <f ca="1">S5/S7</f>
        <v>#NAME?</v>
      </c>
      <c r="U5" t="e">
        <f ca="1">FDIST(T5,R5,R7)</f>
        <v>#NAME?</v>
      </c>
      <c r="W5" s="351" t="e">
        <f t="array" aca="1" ref="W5:W8" ca="1">ExtractUnique(L1:L36)</f>
        <v>#NAME?</v>
      </c>
      <c r="X5" s="382"/>
      <c r="Y5" s="351" t="e">
        <f t="array" aca="1" ref="Y5:Y8" ca="1">INDEX(AncovaMeans(L1:N36),,3)</f>
        <v>#NAME?</v>
      </c>
      <c r="Z5" s="351">
        <f ca="1">COUNTIF(L1:L36,W5)</f>
        <v>36</v>
      </c>
      <c r="AA5" s="351" t="e">
        <f ca="1">AVERAGEIF(L1:L36,W5,N1:N36)</f>
        <v>#NAME?</v>
      </c>
      <c r="AB5" s="351"/>
      <c r="AG5" s="351" t="e">
        <f t="array" aca="1" ref="AG5:AG8" ca="1">ExtractUnique(L1:L36)</f>
        <v>#NAME?</v>
      </c>
      <c r="AH5" s="351" t="e">
        <f t="array" aca="1" ref="AH5:AH8" ca="1">INDEX(AncovaMeans(L1:N36),,3)</f>
        <v>#NAME?</v>
      </c>
      <c r="AI5" s="351">
        <f ca="1">COUNTIF(L$1:L$36,AG5)</f>
        <v>36</v>
      </c>
      <c r="AJ5" s="351" t="e">
        <f ca="1">AVERAGEIF(L$1:L$36,AG5,N$1:N$36)</f>
        <v>#NAME?</v>
      </c>
      <c r="AK5" s="351"/>
      <c r="AL5" s="351"/>
      <c r="AM5" s="351"/>
      <c r="AN5" s="351"/>
      <c r="AO5" s="351"/>
    </row>
    <row r="6" spans="1:41" x14ac:dyDescent="0.25">
      <c r="B6">
        <v>12</v>
      </c>
      <c r="C6">
        <v>45</v>
      </c>
      <c r="D6">
        <v>20</v>
      </c>
      <c r="E6">
        <v>12</v>
      </c>
      <c r="G6">
        <v>17.5</v>
      </c>
      <c r="H6">
        <v>70.8</v>
      </c>
      <c r="I6">
        <v>71.400000000000006</v>
      </c>
      <c r="J6">
        <v>35</v>
      </c>
      <c r="L6" s="428" t="e">
        <f ca="1"/>
        <v>#NAME?</v>
      </c>
      <c r="M6" s="7" t="e">
        <f ca="1"/>
        <v>#NAME?</v>
      </c>
      <c r="N6" s="35" t="e">
        <f ca="1"/>
        <v>#NAME?</v>
      </c>
      <c r="P6" t="s">
        <v>602</v>
      </c>
      <c r="Q6" t="e">
        <f ca="1"/>
        <v>#NAME?</v>
      </c>
      <c r="R6" t="e">
        <f ca="1">COUNTAU(L1:L36)-1</f>
        <v>#NAME?</v>
      </c>
      <c r="S6" t="e">
        <f ca="1">Q6/R6</f>
        <v>#NAME?</v>
      </c>
      <c r="T6" t="e">
        <f ca="1">S6/S7</f>
        <v>#NAME?</v>
      </c>
      <c r="U6" t="e">
        <f ca="1">FDIST(T6,R6,R7)</f>
        <v>#NAME?</v>
      </c>
      <c r="W6" s="7" t="e">
        <f ca="1"/>
        <v>#NAME?</v>
      </c>
      <c r="X6" s="257">
        <v>1</v>
      </c>
      <c r="Y6" s="7" t="e">
        <f ca="1"/>
        <v>#NAME?</v>
      </c>
      <c r="Z6" s="7">
        <f t="shared" ref="Z6:Z8" ca="1" si="0">COUNTIF(L2:L37,W6)</f>
        <v>35</v>
      </c>
      <c r="AA6" s="7" t="e">
        <f t="shared" ref="AA6:AA8" ca="1" si="1">AVERAGEIF(L2:L37,W6,N2:N37)</f>
        <v>#NAME?</v>
      </c>
      <c r="AB6" s="7"/>
      <c r="AG6" s="7" t="e">
        <f ca="1"/>
        <v>#NAME?</v>
      </c>
      <c r="AH6" s="7" t="e">
        <f ca="1"/>
        <v>#NAME?</v>
      </c>
      <c r="AI6" s="7">
        <f t="shared" ref="AI6:AI8" ca="1" si="2">COUNTIF(L$1:L$36,AG6)</f>
        <v>36</v>
      </c>
      <c r="AJ6" s="7" t="e">
        <f t="shared" ref="AJ6:AJ8" ca="1" si="3">AVERAGEIF(L$1:L$36,AG6,N$1:N$36)</f>
        <v>#NAME?</v>
      </c>
      <c r="AK6" s="7"/>
      <c r="AL6" s="7"/>
      <c r="AM6" s="7"/>
      <c r="AN6" s="7"/>
      <c r="AO6" s="7"/>
    </row>
    <row r="7" spans="1:41" x14ac:dyDescent="0.25">
      <c r="B7">
        <v>39</v>
      </c>
      <c r="C7">
        <v>37</v>
      </c>
      <c r="D7">
        <v>42</v>
      </c>
      <c r="E7">
        <v>10</v>
      </c>
      <c r="G7">
        <v>104.60000000000001</v>
      </c>
      <c r="H7">
        <v>45.9</v>
      </c>
      <c r="I7">
        <v>55</v>
      </c>
      <c r="J7">
        <v>33</v>
      </c>
      <c r="L7" s="428" t="e">
        <f ca="1"/>
        <v>#NAME?</v>
      </c>
      <c r="M7" s="7" t="e">
        <f ca="1"/>
        <v>#NAME?</v>
      </c>
      <c r="N7" s="35" t="e">
        <f ca="1"/>
        <v>#NAME?</v>
      </c>
      <c r="P7" t="s">
        <v>124</v>
      </c>
      <c r="Q7" t="e">
        <f ca="1"/>
        <v>#NAME?</v>
      </c>
      <c r="R7" t="e">
        <f ca="1">R8-R5-R6</f>
        <v>#NAME?</v>
      </c>
      <c r="S7" t="e">
        <f ca="1">Q7/R7</f>
        <v>#NAME?</v>
      </c>
      <c r="W7" s="7" t="e">
        <f ca="1"/>
        <v>#NAME?</v>
      </c>
      <c r="X7" s="257"/>
      <c r="Y7" s="7" t="e">
        <f ca="1"/>
        <v>#NAME?</v>
      </c>
      <c r="Z7" s="7">
        <f t="shared" ca="1" si="0"/>
        <v>34</v>
      </c>
      <c r="AA7" s="7" t="e">
        <f t="shared" ca="1" si="1"/>
        <v>#NAME?</v>
      </c>
      <c r="AB7" s="7"/>
      <c r="AG7" s="7" t="e">
        <f ca="1"/>
        <v>#NAME?</v>
      </c>
      <c r="AH7" s="7" t="e">
        <f ca="1"/>
        <v>#NAME?</v>
      </c>
      <c r="AI7" s="7">
        <f t="shared" ca="1" si="2"/>
        <v>36</v>
      </c>
      <c r="AJ7" s="7" t="e">
        <f t="shared" ca="1" si="3"/>
        <v>#NAME?</v>
      </c>
      <c r="AK7" s="7"/>
      <c r="AL7" s="7"/>
      <c r="AM7" s="7"/>
      <c r="AN7" s="7"/>
      <c r="AO7" s="7"/>
    </row>
    <row r="8" spans="1:41" x14ac:dyDescent="0.25">
      <c r="B8">
        <v>36</v>
      </c>
      <c r="C8">
        <v>13</v>
      </c>
      <c r="D8">
        <v>31</v>
      </c>
      <c r="E8">
        <v>19</v>
      </c>
      <c r="G8">
        <v>64.7</v>
      </c>
      <c r="H8">
        <v>47.5</v>
      </c>
      <c r="I8">
        <v>54</v>
      </c>
      <c r="J8">
        <v>34.200000000000003</v>
      </c>
      <c r="L8" s="428" t="e">
        <f ca="1"/>
        <v>#NAME?</v>
      </c>
      <c r="M8" s="7" t="e">
        <f ca="1"/>
        <v>#NAME?</v>
      </c>
      <c r="N8" s="35" t="e">
        <f ca="1"/>
        <v>#NAME?</v>
      </c>
      <c r="P8" s="353" t="s">
        <v>1</v>
      </c>
      <c r="Q8" s="353" t="e">
        <f ca="1">DEVSQ(M1:M36)</f>
        <v>#NAME?</v>
      </c>
      <c r="R8" s="353">
        <f ca="1">COUNT(M1:M36)-1</f>
        <v>-1</v>
      </c>
      <c r="S8" s="353"/>
      <c r="T8" s="353"/>
      <c r="U8" s="353"/>
      <c r="W8" s="353" t="e">
        <f ca="1"/>
        <v>#NAME?</v>
      </c>
      <c r="X8" s="355">
        <v>-1</v>
      </c>
      <c r="Y8" s="353" t="e">
        <f ca="1"/>
        <v>#NAME?</v>
      </c>
      <c r="Z8" s="353">
        <f t="shared" ca="1" si="0"/>
        <v>33</v>
      </c>
      <c r="AA8" s="353" t="e">
        <f t="shared" ca="1" si="1"/>
        <v>#NAME?</v>
      </c>
      <c r="AB8" s="353"/>
      <c r="AG8" s="353" t="e">
        <f ca="1"/>
        <v>#NAME?</v>
      </c>
      <c r="AH8" s="353" t="e">
        <f ca="1"/>
        <v>#NAME?</v>
      </c>
      <c r="AI8" s="353">
        <f t="shared" ca="1" si="2"/>
        <v>36</v>
      </c>
      <c r="AJ8" s="353" t="e">
        <f t="shared" ca="1" si="3"/>
        <v>#NAME?</v>
      </c>
      <c r="AK8" s="353"/>
      <c r="AL8" s="353"/>
      <c r="AM8" s="353"/>
      <c r="AN8" s="353"/>
      <c r="AO8" s="353"/>
    </row>
    <row r="9" spans="1:41" ht="15.75" thickBot="1" x14ac:dyDescent="0.3">
      <c r="B9">
        <v>17</v>
      </c>
      <c r="C9">
        <v>50</v>
      </c>
      <c r="D9">
        <v>24</v>
      </c>
      <c r="E9">
        <v>18</v>
      </c>
      <c r="G9">
        <v>47</v>
      </c>
      <c r="H9">
        <v>77.8</v>
      </c>
      <c r="I9">
        <v>27.9</v>
      </c>
      <c r="J9">
        <v>43.2</v>
      </c>
      <c r="L9" s="428" t="e">
        <f ca="1"/>
        <v>#NAME?</v>
      </c>
      <c r="M9" s="7" t="e">
        <f ca="1"/>
        <v>#NAME?</v>
      </c>
      <c r="N9" s="35" t="e">
        <f ca="1"/>
        <v>#NAME?</v>
      </c>
      <c r="X9">
        <f>SUM(X5:X8)</f>
        <v>0</v>
      </c>
      <c r="Y9" t="e">
        <f ca="1">SUMPRODUCT(X5:X8,Y5:Y8)</f>
        <v>#NAME?</v>
      </c>
      <c r="Z9">
        <f ca="1">SUM(Z5:Z8)</f>
        <v>138</v>
      </c>
      <c r="AA9" t="e">
        <f ca="1">SUMPRODUCT(X5:X8,AA5:AA8)</f>
        <v>#NAME?</v>
      </c>
      <c r="AB9" t="e">
        <f ca="1">SSWStd(L1:N36,3)</f>
        <v>#NAME?</v>
      </c>
      <c r="AI9">
        <f ca="1">SUM(AI5:AI8)</f>
        <v>144</v>
      </c>
      <c r="AJ9" t="e">
        <f ca="1">AVERAGE(N1:N36)</f>
        <v>#NAME?</v>
      </c>
      <c r="AK9" t="e">
        <f ca="1">SUMPRODUCT(AI5:AI8,(AJ5:AJ8-AJ9)^2)</f>
        <v>#NAME?</v>
      </c>
      <c r="AL9" t="e">
        <f ca="1">DEVSQ(N1:N36)-AK9</f>
        <v>#NAME?</v>
      </c>
      <c r="AM9" t="e">
        <f ca="1">INDEX(SSAncova(L1:N36),3)/AN9</f>
        <v>#NAME?</v>
      </c>
      <c r="AN9">
        <f ca="1">AI$9-COUNT(AI5:AI8)-1</f>
        <v>139</v>
      </c>
      <c r="AO9" t="e">
        <f ca="1">QCRIT(COUNT(AI$5:AI$8),AN9,AM3,2)</f>
        <v>#NAME?</v>
      </c>
    </row>
    <row r="10" spans="1:41" ht="16.5" thickTop="1" thickBot="1" x14ac:dyDescent="0.3">
      <c r="B10">
        <v>25</v>
      </c>
      <c r="C10">
        <v>35</v>
      </c>
      <c r="D10">
        <v>15</v>
      </c>
      <c r="E10">
        <v>14</v>
      </c>
      <c r="G10">
        <v>22</v>
      </c>
      <c r="H10">
        <v>70.900000000000006</v>
      </c>
      <c r="I10">
        <v>40.599999999999994</v>
      </c>
      <c r="J10">
        <v>20</v>
      </c>
      <c r="L10" s="428" t="e">
        <f ca="1"/>
        <v>#NAME?</v>
      </c>
      <c r="M10" s="7" t="e">
        <f ca="1"/>
        <v>#NAME?</v>
      </c>
      <c r="N10" s="35" t="e">
        <f ca="1"/>
        <v>#NAME?</v>
      </c>
      <c r="P10" s="191"/>
      <c r="Q10" s="191" t="s">
        <v>6</v>
      </c>
      <c r="R10" s="191" t="s">
        <v>599</v>
      </c>
      <c r="AG10" t="s">
        <v>498</v>
      </c>
    </row>
    <row r="11" spans="1:41" ht="16.5" thickTop="1" thickBot="1" x14ac:dyDescent="0.3">
      <c r="B11">
        <v>15</v>
      </c>
      <c r="C11">
        <v>40</v>
      </c>
      <c r="D11">
        <v>13</v>
      </c>
      <c r="E11">
        <v>8</v>
      </c>
      <c r="G11">
        <v>12.4</v>
      </c>
      <c r="H11">
        <v>84.8</v>
      </c>
      <c r="I11">
        <v>33</v>
      </c>
      <c r="J11">
        <v>37</v>
      </c>
      <c r="L11" s="428" t="e">
        <f ca="1"/>
        <v>#NAME?</v>
      </c>
      <c r="M11" s="7" t="e">
        <f ca="1"/>
        <v>#NAME?</v>
      </c>
      <c r="N11" s="35" t="e">
        <f ca="1"/>
        <v>#NAME?</v>
      </c>
      <c r="P11" s="351" t="e">
        <f t="array" aca="1" ref="P11:R14" ca="1">AncovaMeans(L1:N36)</f>
        <v>#NAME?</v>
      </c>
      <c r="Q11" s="351" t="e">
        <f ca="1"/>
        <v>#NAME?</v>
      </c>
      <c r="R11" s="351" t="e">
        <f ca="1"/>
        <v>#NAME?</v>
      </c>
      <c r="W11" t="s">
        <v>42</v>
      </c>
      <c r="AB11" t="s">
        <v>17</v>
      </c>
      <c r="AC11">
        <v>2.5000000000000001E-2</v>
      </c>
      <c r="AG11" s="191" t="s">
        <v>827</v>
      </c>
      <c r="AH11" s="191" t="s">
        <v>828</v>
      </c>
      <c r="AI11" s="191" t="s">
        <v>6</v>
      </c>
      <c r="AJ11" s="191" t="s">
        <v>183</v>
      </c>
      <c r="AK11" s="191" t="s">
        <v>497</v>
      </c>
      <c r="AL11" s="191" t="s">
        <v>14</v>
      </c>
      <c r="AM11" s="191" t="s">
        <v>15</v>
      </c>
      <c r="AN11" s="191" t="s">
        <v>43</v>
      </c>
      <c r="AO11" s="191" t="s">
        <v>826</v>
      </c>
    </row>
    <row r="12" spans="1:41" ht="15.75" thickTop="1" x14ac:dyDescent="0.25">
      <c r="B12">
        <v>8</v>
      </c>
      <c r="C12">
        <v>33</v>
      </c>
      <c r="D12">
        <v>9</v>
      </c>
      <c r="E12">
        <v>7</v>
      </c>
      <c r="G12">
        <v>20</v>
      </c>
      <c r="H12">
        <v>49.8</v>
      </c>
      <c r="I12">
        <v>22.2</v>
      </c>
      <c r="J12">
        <v>28.2</v>
      </c>
      <c r="L12" s="428" t="e">
        <f ca="1"/>
        <v>#NAME?</v>
      </c>
      <c r="M12" s="7" t="e">
        <f ca="1"/>
        <v>#NAME?</v>
      </c>
      <c r="N12" s="35" t="e">
        <f ca="1"/>
        <v>#NAME?</v>
      </c>
      <c r="P12" s="7" t="e">
        <f ca="1"/>
        <v>#NAME?</v>
      </c>
      <c r="Q12" s="7" t="e">
        <f ca="1"/>
        <v>#NAME?</v>
      </c>
      <c r="R12" s="7" t="e">
        <f ca="1"/>
        <v>#NAME?</v>
      </c>
      <c r="W12" s="191" t="s">
        <v>183</v>
      </c>
      <c r="X12" s="191" t="s">
        <v>53</v>
      </c>
      <c r="Y12" s="191" t="s">
        <v>37</v>
      </c>
      <c r="Z12" s="191" t="s">
        <v>43</v>
      </c>
      <c r="AA12" s="191" t="s">
        <v>44</v>
      </c>
      <c r="AB12" s="191" t="s">
        <v>14</v>
      </c>
      <c r="AC12" s="191" t="s">
        <v>15</v>
      </c>
      <c r="AD12" s="191" t="s">
        <v>111</v>
      </c>
      <c r="AE12" s="191" t="s">
        <v>192</v>
      </c>
      <c r="AG12" s="351" t="e">
        <f ca="1">AG5</f>
        <v>#NAME?</v>
      </c>
      <c r="AH12" s="351" t="e">
        <f ca="1">AG6</f>
        <v>#NAME?</v>
      </c>
      <c r="AI12" s="351" t="e">
        <f ca="1">ABS(AH5-AH6)</f>
        <v>#NAME?</v>
      </c>
      <c r="AJ12" s="351" t="e">
        <f ca="1">SQRT(AM9*(1+AK9/(AL9*(COUNT(AI$5:AI$8)-1)))/HARMEAN(AI5,AI6))</f>
        <v>#NAME?</v>
      </c>
      <c r="AK12" s="351" t="e">
        <f ca="1">AI12/AJ12</f>
        <v>#NAME?</v>
      </c>
      <c r="AL12" s="351" t="e">
        <f ca="1">AI12-AO12</f>
        <v>#NAME?</v>
      </c>
      <c r="AM12" s="351" t="e">
        <f ca="1">AI12+AO12</f>
        <v>#NAME?</v>
      </c>
      <c r="AN12" s="351" t="e">
        <f ca="1">QDIST(AK12,COUNT(AI$5:AI$8),AN$9)</f>
        <v>#NAME?</v>
      </c>
      <c r="AO12" s="351" t="e">
        <f ca="1">AJ12*AO$9</f>
        <v>#NAME?</v>
      </c>
    </row>
    <row r="13" spans="1:41" x14ac:dyDescent="0.25">
      <c r="B13">
        <v>31</v>
      </c>
      <c r="C13">
        <v>17</v>
      </c>
      <c r="D13">
        <v>21</v>
      </c>
      <c r="E13">
        <v>19</v>
      </c>
      <c r="G13">
        <v>79.7</v>
      </c>
      <c r="H13">
        <v>34.599999999999994</v>
      </c>
      <c r="I13">
        <v>80.5</v>
      </c>
      <c r="J13">
        <v>46.400000000000006</v>
      </c>
      <c r="L13" s="428" t="e">
        <f ca="1"/>
        <v>#NAME?</v>
      </c>
      <c r="M13" s="7" t="e">
        <f ca="1"/>
        <v>#NAME?</v>
      </c>
      <c r="N13" s="35" t="e">
        <f ca="1"/>
        <v>#NAME?</v>
      </c>
      <c r="P13" s="7" t="e">
        <f ca="1"/>
        <v>#NAME?</v>
      </c>
      <c r="Q13" s="7" t="e">
        <f ca="1"/>
        <v>#NAME?</v>
      </c>
      <c r="R13" s="7" t="e">
        <f ca="1"/>
        <v>#NAME?</v>
      </c>
      <c r="W13" s="451" t="e">
        <f ca="1">SQRT(INDEX(SSAncova(L1:N36),3)/(Z9-COUNTA(W5:W8)-1)*(SUMPRODUCT(X5:X8^2,1/Z5:Z8)+AA9^2/AB9))</f>
        <v>#NAME?</v>
      </c>
      <c r="X13" s="451" t="e">
        <f ca="1">Y9/W13</f>
        <v>#NAME?</v>
      </c>
      <c r="Y13" s="451">
        <f ca="1">Z9-COUNTA(W5:W8)-1</f>
        <v>133</v>
      </c>
      <c r="Z13" s="451" t="e">
        <f ca="1">TDIST(ABS(X13),Y13,2)</f>
        <v>#NAME?</v>
      </c>
      <c r="AA13" s="451">
        <f ca="1">TINV(AC11,Y13)</f>
        <v>2.2670612906313812</v>
      </c>
      <c r="AB13" s="451" t="e">
        <f ca="1">Y9-W13*AA13</f>
        <v>#NAME?</v>
      </c>
      <c r="AC13" s="451" t="e">
        <f ca="1">Y9+W13*AA13</f>
        <v>#NAME?</v>
      </c>
      <c r="AD13" s="452" t="e">
        <f ca="1">IF(Z13&lt;AC11,"yes","no")</f>
        <v>#NAME?</v>
      </c>
      <c r="AE13" s="451" t="e">
        <f ca="1">SQRT(X13^2/(X13^2+Y13))</f>
        <v>#NAME?</v>
      </c>
      <c r="AG13" s="7" t="e">
        <f ca="1">AG5</f>
        <v>#NAME?</v>
      </c>
      <c r="AH13" s="7" t="e">
        <f ca="1">AG7</f>
        <v>#NAME?</v>
      </c>
      <c r="AI13" s="7" t="e">
        <f ca="1">ABS(AH5-AH7)</f>
        <v>#NAME?</v>
      </c>
      <c r="AJ13" s="7" t="e">
        <f ca="1">SQRT(AM9*(1+AK9/(AL9*(COUNT(AI$5:AI$8)-1)))/HARMEAN(AI5,AI7))</f>
        <v>#NAME?</v>
      </c>
      <c r="AK13" s="7" t="e">
        <f t="shared" ref="AK13:AK17" ca="1" si="4">AI13/AJ13</f>
        <v>#NAME?</v>
      </c>
      <c r="AL13" s="7" t="e">
        <f t="shared" ref="AL13:AL17" ca="1" si="5">AI13-AO13</f>
        <v>#NAME?</v>
      </c>
      <c r="AM13" s="7" t="e">
        <f t="shared" ref="AM13:AM17" ca="1" si="6">AI13+AO13</f>
        <v>#NAME?</v>
      </c>
      <c r="AN13" s="7" t="e">
        <f ca="1">QDIST(AK13,COUNT(AI$5:AI$8),AN$9)</f>
        <v>#NAME?</v>
      </c>
      <c r="AO13" s="7" t="e">
        <f t="shared" ref="AO13:AO17" ca="1" si="7">AJ13*AO$9</f>
        <v>#NAME?</v>
      </c>
    </row>
    <row r="14" spans="1:41" x14ac:dyDescent="0.25">
      <c r="D14">
        <v>31</v>
      </c>
      <c r="E14">
        <v>25</v>
      </c>
      <c r="I14">
        <v>80</v>
      </c>
      <c r="J14">
        <v>64.900000000000006</v>
      </c>
      <c r="L14" s="428" t="e">
        <f ca="1"/>
        <v>#NAME?</v>
      </c>
      <c r="M14" s="7" t="e">
        <f ca="1"/>
        <v>#NAME?</v>
      </c>
      <c r="N14" s="35" t="e">
        <f ca="1"/>
        <v>#NAME?</v>
      </c>
      <c r="P14" s="353" t="e">
        <f ca="1"/>
        <v>#NAME?</v>
      </c>
      <c r="Q14" s="353" t="e">
        <f ca="1"/>
        <v>#NAME?</v>
      </c>
      <c r="R14" s="353" t="e">
        <f ca="1"/>
        <v>#NAME?</v>
      </c>
      <c r="AG14" s="7" t="e">
        <f ca="1">AG5</f>
        <v>#NAME?</v>
      </c>
      <c r="AH14" s="7" t="e">
        <f ca="1">AG8</f>
        <v>#NAME?</v>
      </c>
      <c r="AI14" s="7" t="e">
        <f ca="1">ABS(AH5-AH8)</f>
        <v>#NAME?</v>
      </c>
      <c r="AJ14" s="7" t="e">
        <f ca="1">SQRT(AM9*(1+AK9/(AL9*(COUNT(AI$5:AI$8)-1)))/HARMEAN(AI5,AI8))</f>
        <v>#NAME?</v>
      </c>
      <c r="AK14" s="7" t="e">
        <f t="shared" ca="1" si="4"/>
        <v>#NAME?</v>
      </c>
      <c r="AL14" s="7" t="e">
        <f t="shared" ca="1" si="5"/>
        <v>#NAME?</v>
      </c>
      <c r="AM14" s="7" t="e">
        <f t="shared" ca="1" si="6"/>
        <v>#NAME?</v>
      </c>
      <c r="AN14" s="7" t="e">
        <f ca="1">QDIST(AK14,COUNT(AI$5:AI$8),AN$9)</f>
        <v>#NAME?</v>
      </c>
      <c r="AO14" s="7" t="e">
        <f t="shared" ca="1" si="7"/>
        <v>#NAME?</v>
      </c>
    </row>
    <row r="15" spans="1:41" x14ac:dyDescent="0.25">
      <c r="B15" s="353"/>
      <c r="C15" s="353"/>
      <c r="D15" s="353">
        <v>13</v>
      </c>
      <c r="E15" s="353">
        <v>26</v>
      </c>
      <c r="G15" s="353"/>
      <c r="H15" s="353"/>
      <c r="I15" s="353">
        <v>41</v>
      </c>
      <c r="J15" s="353">
        <v>59.4</v>
      </c>
      <c r="L15" s="428" t="e">
        <f ca="1"/>
        <v>#NAME?</v>
      </c>
      <c r="M15" s="7" t="e">
        <f ca="1"/>
        <v>#NAME?</v>
      </c>
      <c r="N15" s="35" t="e">
        <f ca="1"/>
        <v>#NAME?</v>
      </c>
      <c r="AG15" s="7" t="e">
        <f ca="1">AG6</f>
        <v>#NAME?</v>
      </c>
      <c r="AH15" s="7" t="e">
        <f ca="1">AG7</f>
        <v>#NAME?</v>
      </c>
      <c r="AI15" s="7" t="e">
        <f ca="1">ABS(AH6-AH7)</f>
        <v>#NAME?</v>
      </c>
      <c r="AJ15" s="7" t="e">
        <f ca="1">SQRT(AM9*(1+AK9/(AL9*(COUNT(AI$5:AI$8)-1)))/HARMEAN(AI6,AI7))</f>
        <v>#NAME?</v>
      </c>
      <c r="AK15" s="7" t="e">
        <f t="shared" ca="1" si="4"/>
        <v>#NAME?</v>
      </c>
      <c r="AL15" s="7" t="e">
        <f t="shared" ca="1" si="5"/>
        <v>#NAME?</v>
      </c>
      <c r="AM15" s="7" t="e">
        <f t="shared" ca="1" si="6"/>
        <v>#NAME?</v>
      </c>
      <c r="AN15" s="7" t="e">
        <f ca="1">QDIST(AK15,COUNT(AI$5:AI$8),AN$9)</f>
        <v>#NAME?</v>
      </c>
      <c r="AO15" s="7" t="e">
        <f t="shared" ca="1" si="7"/>
        <v>#NAME?</v>
      </c>
    </row>
    <row r="16" spans="1:41" x14ac:dyDescent="0.25">
      <c r="A16" t="s">
        <v>6</v>
      </c>
      <c r="B16">
        <f>AVERAGE(B6:B15)</f>
        <v>22.875</v>
      </c>
      <c r="C16">
        <f>AVERAGE(C6:C15)</f>
        <v>33.75</v>
      </c>
      <c r="D16">
        <f>AVERAGE(D6:D15)</f>
        <v>21.9</v>
      </c>
      <c r="E16">
        <f>AVERAGE(E6:E15)</f>
        <v>15.8</v>
      </c>
      <c r="G16">
        <f>AVERAGE(G6:G15)</f>
        <v>45.987499999999997</v>
      </c>
      <c r="H16">
        <f>AVERAGE(H6:H15)</f>
        <v>60.262500000000003</v>
      </c>
      <c r="I16">
        <f>AVERAGE(I6:I15)</f>
        <v>50.559999999999995</v>
      </c>
      <c r="J16">
        <f>AVERAGE(J6:J15)</f>
        <v>40.129999999999995</v>
      </c>
      <c r="L16" s="428" t="e">
        <f ca="1"/>
        <v>#NAME?</v>
      </c>
      <c r="M16" s="7" t="e">
        <f ca="1"/>
        <v>#NAME?</v>
      </c>
      <c r="N16" s="35" t="e">
        <f ca="1"/>
        <v>#NAME?</v>
      </c>
      <c r="P16" t="s">
        <v>741</v>
      </c>
      <c r="AG16" s="7" t="e">
        <f ca="1">AG6</f>
        <v>#NAME?</v>
      </c>
      <c r="AH16" s="7" t="e">
        <f ca="1">AG8</f>
        <v>#NAME?</v>
      </c>
      <c r="AI16" s="7" t="e">
        <f ca="1">ABS(AH6-AH8)</f>
        <v>#NAME?</v>
      </c>
      <c r="AJ16" s="7" t="e">
        <f ca="1">SQRT(AM9*(1+AK9/(AL9*(COUNT(AI$5:AI$8)-1)))/HARMEAN(AI6,AI8))</f>
        <v>#NAME?</v>
      </c>
      <c r="AK16" s="7" t="e">
        <f t="shared" ca="1" si="4"/>
        <v>#NAME?</v>
      </c>
      <c r="AL16" s="7" t="e">
        <f t="shared" ca="1" si="5"/>
        <v>#NAME?</v>
      </c>
      <c r="AM16" s="7" t="e">
        <f t="shared" ca="1" si="6"/>
        <v>#NAME?</v>
      </c>
      <c r="AN16" s="7" t="e">
        <f ca="1">QDIST(AK16,COUNT(AI$5:AI$8),AN$9)</f>
        <v>#NAME?</v>
      </c>
      <c r="AO16" s="7" t="e">
        <f t="shared" ca="1" si="7"/>
        <v>#NAME?</v>
      </c>
    </row>
    <row r="17" spans="1:41" x14ac:dyDescent="0.25">
      <c r="A17" t="s">
        <v>7</v>
      </c>
      <c r="B17" s="353">
        <f>VAR(B6:B15)</f>
        <v>134.125</v>
      </c>
      <c r="C17" s="353">
        <f>VAR(C6:C15)</f>
        <v>164.78571428571428</v>
      </c>
      <c r="D17" s="353">
        <f>VAR(D6:D15)</f>
        <v>105.65555555555551</v>
      </c>
      <c r="E17" s="353">
        <f>VAR(E6:E15)</f>
        <v>44.844444444444434</v>
      </c>
      <c r="G17" s="353">
        <f>VAR(G6:G15)</f>
        <v>1159.0783928571432</v>
      </c>
      <c r="H17" s="353">
        <f>VAR(H6:H15)</f>
        <v>324.43410714285659</v>
      </c>
      <c r="I17" s="353">
        <f>VAR(I6:I15)</f>
        <v>449.52044444444499</v>
      </c>
      <c r="J17" s="353">
        <f>VAR(J6:J15)</f>
        <v>189.25344444444514</v>
      </c>
      <c r="L17" s="428" t="e">
        <f ca="1"/>
        <v>#NAME?</v>
      </c>
      <c r="M17" s="7" t="e">
        <f ca="1"/>
        <v>#NAME?</v>
      </c>
      <c r="N17" s="35" t="e">
        <f ca="1"/>
        <v>#NAME?</v>
      </c>
      <c r="AG17" s="353" t="e">
        <f ca="1">AG7</f>
        <v>#NAME?</v>
      </c>
      <c r="AH17" s="353" t="e">
        <f ca="1">AG8</f>
        <v>#NAME?</v>
      </c>
      <c r="AI17" s="353" t="e">
        <f ca="1">ABS(AH7-AH8)</f>
        <v>#NAME?</v>
      </c>
      <c r="AJ17" s="353" t="e">
        <f ca="1">SQRT(AM9*(1+AK9/(AL9*(COUNT(AI$5:AI$8)-1)))/HARMEAN(AI7,AI8))</f>
        <v>#NAME?</v>
      </c>
      <c r="AK17" s="353" t="e">
        <f t="shared" ca="1" si="4"/>
        <v>#NAME?</v>
      </c>
      <c r="AL17" s="353" t="e">
        <f t="shared" ca="1" si="5"/>
        <v>#NAME?</v>
      </c>
      <c r="AM17" s="353" t="e">
        <f t="shared" ca="1" si="6"/>
        <v>#NAME?</v>
      </c>
      <c r="AN17" s="353" t="e">
        <f ca="1">QDIST(AK17,COUNT(AI$5:AI$8),AN$9)</f>
        <v>#NAME?</v>
      </c>
      <c r="AO17" s="353" t="e">
        <f t="shared" ca="1" si="7"/>
        <v>#NAME?</v>
      </c>
    </row>
    <row r="18" spans="1:41" x14ac:dyDescent="0.25">
      <c r="L18" s="428" t="e">
        <f ca="1"/>
        <v>#NAME?</v>
      </c>
      <c r="M18" s="7" t="e">
        <f ca="1"/>
        <v>#NAME?</v>
      </c>
      <c r="N18" s="35" t="e">
        <f ca="1"/>
        <v>#NAME?</v>
      </c>
      <c r="P18" t="e">
        <f t="array" aca="1" ref="P18:Q23" ca="1">AncovaParallel(L1:N36,TRUE)</f>
        <v>#NAME?</v>
      </c>
      <c r="Q18" s="453" t="e">
        <f ca="1"/>
        <v>#NAME?</v>
      </c>
    </row>
    <row r="19" spans="1:41" x14ac:dyDescent="0.25">
      <c r="L19" s="428" t="e">
        <f ca="1"/>
        <v>#NAME?</v>
      </c>
      <c r="M19" s="7" t="e">
        <f ca="1"/>
        <v>#NAME?</v>
      </c>
      <c r="N19" s="35" t="e">
        <f ca="1"/>
        <v>#NAME?</v>
      </c>
      <c r="P19" t="e">
        <f ca="1"/>
        <v>#NAME?</v>
      </c>
      <c r="Q19" s="454" t="e">
        <f ca="1"/>
        <v>#NAME?</v>
      </c>
    </row>
    <row r="20" spans="1:41" x14ac:dyDescent="0.25">
      <c r="L20" s="428" t="e">
        <f ca="1"/>
        <v>#NAME?</v>
      </c>
      <c r="M20" s="7" t="e">
        <f ca="1"/>
        <v>#NAME?</v>
      </c>
      <c r="N20" s="35" t="e">
        <f ca="1"/>
        <v>#NAME?</v>
      </c>
      <c r="P20" t="e">
        <f ca="1"/>
        <v>#NAME?</v>
      </c>
      <c r="Q20" s="454" t="e">
        <f ca="1"/>
        <v>#NAME?</v>
      </c>
    </row>
    <row r="21" spans="1:41" x14ac:dyDescent="0.25">
      <c r="L21" s="428" t="e">
        <f ca="1"/>
        <v>#NAME?</v>
      </c>
      <c r="M21" s="7" t="e">
        <f ca="1"/>
        <v>#NAME?</v>
      </c>
      <c r="N21" s="35" t="e">
        <f ca="1"/>
        <v>#NAME?</v>
      </c>
      <c r="P21" t="e">
        <f ca="1"/>
        <v>#NAME?</v>
      </c>
      <c r="Q21" s="454" t="e">
        <f ca="1"/>
        <v>#NAME?</v>
      </c>
    </row>
    <row r="22" spans="1:41" x14ac:dyDescent="0.25">
      <c r="L22" s="428" t="e">
        <f ca="1"/>
        <v>#NAME?</v>
      </c>
      <c r="M22" s="7" t="e">
        <f ca="1"/>
        <v>#NAME?</v>
      </c>
      <c r="N22" s="35" t="e">
        <f ca="1"/>
        <v>#NAME?</v>
      </c>
      <c r="P22" t="e">
        <f ca="1"/>
        <v>#NAME?</v>
      </c>
      <c r="Q22" s="454" t="e">
        <f ca="1"/>
        <v>#NAME?</v>
      </c>
    </row>
    <row r="23" spans="1:41" x14ac:dyDescent="0.25">
      <c r="L23" s="428" t="e">
        <f ca="1"/>
        <v>#NAME?</v>
      </c>
      <c r="M23" s="7" t="e">
        <f ca="1"/>
        <v>#NAME?</v>
      </c>
      <c r="N23" s="35" t="e">
        <f ca="1"/>
        <v>#NAME?</v>
      </c>
      <c r="P23" t="e">
        <f ca="1"/>
        <v>#NAME?</v>
      </c>
      <c r="Q23" s="378" t="e">
        <f ca="1"/>
        <v>#NAME?</v>
      </c>
    </row>
    <row r="24" spans="1:41" x14ac:dyDescent="0.25">
      <c r="L24" s="428" t="e">
        <f ca="1"/>
        <v>#NAME?</v>
      </c>
      <c r="M24" s="7" t="e">
        <f ca="1"/>
        <v>#NAME?</v>
      </c>
      <c r="N24" s="35" t="e">
        <f ca="1"/>
        <v>#NAME?</v>
      </c>
    </row>
    <row r="25" spans="1:41" x14ac:dyDescent="0.25">
      <c r="L25" s="428" t="e">
        <f ca="1"/>
        <v>#NAME?</v>
      </c>
      <c r="M25" s="7" t="e">
        <f ca="1"/>
        <v>#NAME?</v>
      </c>
      <c r="N25" s="35" t="e">
        <f ca="1"/>
        <v>#NAME?</v>
      </c>
    </row>
    <row r="26" spans="1:41" x14ac:dyDescent="0.25">
      <c r="L26" s="428" t="e">
        <f ca="1"/>
        <v>#NAME?</v>
      </c>
      <c r="M26" s="7" t="e">
        <f ca="1"/>
        <v>#NAME?</v>
      </c>
      <c r="N26" s="35" t="e">
        <f ca="1"/>
        <v>#NAME?</v>
      </c>
    </row>
    <row r="27" spans="1:41" x14ac:dyDescent="0.25">
      <c r="L27" s="428" t="e">
        <f ca="1"/>
        <v>#NAME?</v>
      </c>
      <c r="M27" s="7" t="e">
        <f ca="1"/>
        <v>#NAME?</v>
      </c>
      <c r="N27" s="35" t="e">
        <f ca="1"/>
        <v>#NAME?</v>
      </c>
    </row>
    <row r="28" spans="1:41" x14ac:dyDescent="0.25">
      <c r="L28" s="428" t="e">
        <f ca="1"/>
        <v>#NAME?</v>
      </c>
      <c r="M28" s="7" t="e">
        <f ca="1"/>
        <v>#NAME?</v>
      </c>
      <c r="N28" s="35" t="e">
        <f ca="1"/>
        <v>#NAME?</v>
      </c>
    </row>
    <row r="29" spans="1:41" x14ac:dyDescent="0.25">
      <c r="L29" s="428" t="e">
        <f ca="1"/>
        <v>#NAME?</v>
      </c>
      <c r="M29" s="7" t="e">
        <f ca="1"/>
        <v>#NAME?</v>
      </c>
      <c r="N29" s="35" t="e">
        <f ca="1"/>
        <v>#NAME?</v>
      </c>
    </row>
    <row r="30" spans="1:41" x14ac:dyDescent="0.25">
      <c r="L30" s="428" t="e">
        <f ca="1"/>
        <v>#NAME?</v>
      </c>
      <c r="M30" s="7" t="e">
        <f ca="1"/>
        <v>#NAME?</v>
      </c>
      <c r="N30" s="35" t="e">
        <f ca="1"/>
        <v>#NAME?</v>
      </c>
    </row>
    <row r="31" spans="1:41" x14ac:dyDescent="0.25">
      <c r="L31" s="428" t="e">
        <f ca="1"/>
        <v>#NAME?</v>
      </c>
      <c r="M31" s="7" t="e">
        <f ca="1"/>
        <v>#NAME?</v>
      </c>
      <c r="N31" s="35" t="e">
        <f ca="1"/>
        <v>#NAME?</v>
      </c>
    </row>
    <row r="32" spans="1:41" x14ac:dyDescent="0.25">
      <c r="L32" s="428" t="e">
        <f ca="1"/>
        <v>#NAME?</v>
      </c>
      <c r="M32" s="7" t="e">
        <f ca="1"/>
        <v>#NAME?</v>
      </c>
      <c r="N32" s="35" t="e">
        <f ca="1"/>
        <v>#NAME?</v>
      </c>
    </row>
    <row r="33" spans="12:14" x14ac:dyDescent="0.25">
      <c r="L33" s="428" t="e">
        <f ca="1"/>
        <v>#NAME?</v>
      </c>
      <c r="M33" s="7" t="e">
        <f ca="1"/>
        <v>#NAME?</v>
      </c>
      <c r="N33" s="35" t="e">
        <f ca="1"/>
        <v>#NAME?</v>
      </c>
    </row>
    <row r="34" spans="12:14" x14ac:dyDescent="0.25">
      <c r="L34" s="428" t="e">
        <f ca="1"/>
        <v>#NAME?</v>
      </c>
      <c r="M34" s="7" t="e">
        <f ca="1"/>
        <v>#NAME?</v>
      </c>
      <c r="N34" s="35" t="e">
        <f ca="1"/>
        <v>#NAME?</v>
      </c>
    </row>
    <row r="35" spans="12:14" x14ac:dyDescent="0.25">
      <c r="L35" s="428" t="e">
        <f ca="1"/>
        <v>#NAME?</v>
      </c>
      <c r="M35" s="7" t="e">
        <f ca="1"/>
        <v>#NAME?</v>
      </c>
      <c r="N35" s="35" t="e">
        <f ca="1"/>
        <v>#NAME?</v>
      </c>
    </row>
    <row r="36" spans="12:14" x14ac:dyDescent="0.25">
      <c r="L36" s="348" t="e">
        <f ca="1"/>
        <v>#NAME?</v>
      </c>
      <c r="M36" s="349" t="e">
        <f ca="1"/>
        <v>#NAME?</v>
      </c>
      <c r="N36" s="350" t="e">
        <f ca="1"/>
        <v>#NAME?</v>
      </c>
    </row>
  </sheetData>
  <pageMargins left="0.7" right="0.7" top="0.75" bottom="0.75" header="0.3" footer="0.3"/>
  <pageSetup paperSize="9" orientation="portrait" r:id="rId1"/>
  <ignoredErrors>
    <ignoredError sqref="Y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0"/>
  <dimension ref="A1:W32"/>
  <sheetViews>
    <sheetView workbookViewId="0"/>
  </sheetViews>
  <sheetFormatPr defaultRowHeight="15" x14ac:dyDescent="0.25"/>
  <cols>
    <col min="1" max="9" width="10" customWidth="1"/>
    <col min="13" max="13" width="9.140625" customWidth="1"/>
    <col min="15" max="15" width="16.42578125" customWidth="1"/>
  </cols>
  <sheetData>
    <row r="1" spans="1:23" x14ac:dyDescent="0.25">
      <c r="A1" s="1" t="s">
        <v>572</v>
      </c>
    </row>
    <row r="2" spans="1:23" x14ac:dyDescent="0.25">
      <c r="K2" s="12" t="s">
        <v>586</v>
      </c>
      <c r="L2" s="12" t="s">
        <v>587</v>
      </c>
      <c r="M2" s="12" t="s">
        <v>588</v>
      </c>
    </row>
    <row r="3" spans="1:23" x14ac:dyDescent="0.25">
      <c r="A3" s="471" t="s">
        <v>575</v>
      </c>
      <c r="B3" s="472"/>
      <c r="C3" s="472"/>
      <c r="D3" s="471" t="s">
        <v>573</v>
      </c>
      <c r="E3" s="472"/>
      <c r="F3" s="473"/>
      <c r="G3" s="472" t="s">
        <v>574</v>
      </c>
      <c r="H3" s="472"/>
      <c r="I3" s="473"/>
      <c r="K3" s="207" t="e">
        <f t="array" aca="1" ref="K3:K32" ca="1">RESHAPE(A5:C14)</f>
        <v>#NAME?</v>
      </c>
      <c r="L3" s="205" t="e">
        <f t="array" aca="1" ref="L3:L32" ca="1">RESHAPE(D5:F14)</f>
        <v>#NAME?</v>
      </c>
      <c r="M3" s="208" t="e">
        <f t="array" aca="1" ref="M3:M32" ca="1">RESHAPE(G5:I14)</f>
        <v>#NAME?</v>
      </c>
      <c r="O3" t="s">
        <v>98</v>
      </c>
    </row>
    <row r="4" spans="1:23" x14ac:dyDescent="0.25">
      <c r="A4" s="149" t="s">
        <v>576</v>
      </c>
      <c r="B4" s="220" t="s">
        <v>577</v>
      </c>
      <c r="C4" s="174" t="s">
        <v>578</v>
      </c>
      <c r="D4" s="149" t="s">
        <v>579</v>
      </c>
      <c r="E4" s="220" t="s">
        <v>580</v>
      </c>
      <c r="F4" s="220" t="s">
        <v>581</v>
      </c>
      <c r="G4" s="149" t="s">
        <v>582</v>
      </c>
      <c r="H4" s="220" t="s">
        <v>583</v>
      </c>
      <c r="I4" s="174" t="s">
        <v>584</v>
      </c>
      <c r="K4" s="107" t="e">
        <f ca="1"/>
        <v>#NAME?</v>
      </c>
      <c r="L4" s="7" t="e">
        <f ca="1"/>
        <v>#NAME?</v>
      </c>
      <c r="M4" s="108" t="e">
        <f ca="1"/>
        <v>#NAME?</v>
      </c>
    </row>
    <row r="5" spans="1:23" ht="15.75" thickBot="1" x14ac:dyDescent="0.3">
      <c r="A5" s="207">
        <v>34</v>
      </c>
      <c r="B5" s="205">
        <v>45</v>
      </c>
      <c r="C5" s="208">
        <v>40</v>
      </c>
      <c r="D5" s="107">
        <v>46</v>
      </c>
      <c r="E5" s="7">
        <v>23</v>
      </c>
      <c r="F5" s="7">
        <v>75</v>
      </c>
      <c r="G5" s="107">
        <v>23</v>
      </c>
      <c r="H5" s="7">
        <v>75</v>
      </c>
      <c r="I5" s="108">
        <v>55</v>
      </c>
      <c r="K5" s="107" t="e">
        <f ca="1"/>
        <v>#NAME?</v>
      </c>
      <c r="L5" s="7" t="e">
        <f ca="1"/>
        <v>#NAME?</v>
      </c>
      <c r="M5" s="108" t="e">
        <f ca="1"/>
        <v>#NAME?</v>
      </c>
      <c r="O5" t="s">
        <v>99</v>
      </c>
      <c r="T5" t="s">
        <v>17</v>
      </c>
      <c r="U5">
        <v>0.05</v>
      </c>
    </row>
    <row r="6" spans="1:23" ht="15.75" thickTop="1" x14ac:dyDescent="0.25">
      <c r="A6" s="107">
        <v>56</v>
      </c>
      <c r="B6" s="7">
        <v>76</v>
      </c>
      <c r="C6" s="108">
        <v>39</v>
      </c>
      <c r="D6" s="107">
        <v>32</v>
      </c>
      <c r="E6" s="23">
        <v>56</v>
      </c>
      <c r="F6" s="7">
        <v>57</v>
      </c>
      <c r="G6" s="131">
        <v>56</v>
      </c>
      <c r="H6" s="7">
        <v>57</v>
      </c>
      <c r="I6" s="108">
        <v>73</v>
      </c>
      <c r="K6" s="107" t="e">
        <f ca="1"/>
        <v>#NAME?</v>
      </c>
      <c r="L6" s="7" t="e">
        <f ca="1"/>
        <v>#NAME?</v>
      </c>
      <c r="M6" s="108" t="e">
        <f ca="1"/>
        <v>#NAME?</v>
      </c>
      <c r="O6" s="191" t="s">
        <v>47</v>
      </c>
      <c r="P6" s="191" t="s">
        <v>11</v>
      </c>
      <c r="Q6" s="191" t="s">
        <v>10</v>
      </c>
      <c r="R6" s="191" t="s">
        <v>8</v>
      </c>
      <c r="S6" s="191" t="s">
        <v>48</v>
      </c>
      <c r="T6" s="191" t="s">
        <v>76</v>
      </c>
      <c r="U6" s="191" t="s">
        <v>36</v>
      </c>
      <c r="V6" s="191" t="s">
        <v>91</v>
      </c>
      <c r="W6" s="191" t="s">
        <v>92</v>
      </c>
    </row>
    <row r="7" spans="1:23" x14ac:dyDescent="0.25">
      <c r="A7" s="107">
        <v>78</v>
      </c>
      <c r="B7" s="7">
        <v>65</v>
      </c>
      <c r="C7" s="108">
        <v>78</v>
      </c>
      <c r="D7" s="107">
        <v>56</v>
      </c>
      <c r="E7" s="23">
        <v>61</v>
      </c>
      <c r="F7" s="7">
        <v>63</v>
      </c>
      <c r="G7" s="131">
        <v>61</v>
      </c>
      <c r="H7" s="7">
        <v>63</v>
      </c>
      <c r="I7" s="108">
        <v>69</v>
      </c>
      <c r="K7" s="107" t="e">
        <f ca="1"/>
        <v>#NAME?</v>
      </c>
      <c r="L7" s="7" t="e">
        <f ca="1"/>
        <v>#NAME?</v>
      </c>
      <c r="M7" s="108" t="e">
        <f ca="1"/>
        <v>#NAME?</v>
      </c>
      <c r="O7" t="str">
        <f>K2</f>
        <v>Conflict</v>
      </c>
      <c r="P7">
        <f ca="1">COUNT(K3:K32)</f>
        <v>0</v>
      </c>
      <c r="Q7" t="e">
        <f ca="1">SUM(K3:K32)</f>
        <v>#NAME?</v>
      </c>
      <c r="R7" t="e">
        <f ca="1">AVERAGE(K3:K32)</f>
        <v>#NAME?</v>
      </c>
      <c r="S7" t="e">
        <f ca="1">VAR(K3:K32)</f>
        <v>#NAME?</v>
      </c>
      <c r="T7" t="e">
        <f ca="1">DEVSQ(K3:K32)</f>
        <v>#NAME?</v>
      </c>
      <c r="U7" t="e">
        <f ca="1">SQRT(R14/P7)</f>
        <v>#NAME?</v>
      </c>
      <c r="V7" t="e">
        <f ca="1">R7-U7*TINV(U5,P7-1)</f>
        <v>#NAME?</v>
      </c>
      <c r="W7" t="e">
        <f ca="1">R7+U7*TINV(U5,P7-1)</f>
        <v>#NAME?</v>
      </c>
    </row>
    <row r="8" spans="1:23" x14ac:dyDescent="0.25">
      <c r="A8" s="107">
        <v>67</v>
      </c>
      <c r="B8" s="23">
        <v>52</v>
      </c>
      <c r="C8" s="108">
        <v>24</v>
      </c>
      <c r="D8" s="107">
        <v>52</v>
      </c>
      <c r="E8" s="23">
        <v>34</v>
      </c>
      <c r="F8" s="7">
        <v>25</v>
      </c>
      <c r="G8" s="131">
        <v>34</v>
      </c>
      <c r="H8" s="7">
        <v>25</v>
      </c>
      <c r="I8" s="108">
        <v>64</v>
      </c>
      <c r="K8" s="107" t="e">
        <f ca="1"/>
        <v>#NAME?</v>
      </c>
      <c r="L8" s="7" t="e">
        <f ca="1"/>
        <v>#NAME?</v>
      </c>
      <c r="M8" s="108" t="e">
        <f ca="1"/>
        <v>#NAME?</v>
      </c>
      <c r="O8" t="str">
        <f>L2</f>
        <v>Psychol</v>
      </c>
      <c r="P8">
        <f ca="1">COUNT(L3:L32)</f>
        <v>0</v>
      </c>
      <c r="Q8" t="e">
        <f ca="1">SUM(L3:L32)</f>
        <v>#NAME?</v>
      </c>
      <c r="R8" t="e">
        <f ca="1">AVERAGE(L3:L32)</f>
        <v>#NAME?</v>
      </c>
      <c r="S8" t="e">
        <f ca="1">VAR(L3:L32)</f>
        <v>#NAME?</v>
      </c>
      <c r="T8" t="e">
        <f ca="1">DEVSQ(L3:L32)</f>
        <v>#NAME?</v>
      </c>
      <c r="U8" t="e">
        <f ca="1">SQRT(R14/P8)</f>
        <v>#NAME?</v>
      </c>
      <c r="V8" t="e">
        <f ca="1">R8-U8*TINV(U5,P8-1)</f>
        <v>#NAME?</v>
      </c>
      <c r="W8" t="e">
        <f ca="1">R8+U8*TINV(U5,P8-1)</f>
        <v>#NAME?</v>
      </c>
    </row>
    <row r="9" spans="1:23" x14ac:dyDescent="0.25">
      <c r="A9" s="107">
        <v>61</v>
      </c>
      <c r="B9" s="23">
        <v>23</v>
      </c>
      <c r="C9" s="108">
        <v>59</v>
      </c>
      <c r="D9" s="107">
        <v>79</v>
      </c>
      <c r="E9" s="23">
        <v>28</v>
      </c>
      <c r="F9" s="7">
        <v>60</v>
      </c>
      <c r="G9" s="131">
        <v>28</v>
      </c>
      <c r="H9" s="7">
        <v>60</v>
      </c>
      <c r="I9" s="108">
        <v>59</v>
      </c>
      <c r="K9" s="107" t="e">
        <f ca="1"/>
        <v>#NAME?</v>
      </c>
      <c r="L9" s="7" t="e">
        <f ca="1"/>
        <v>#NAME?</v>
      </c>
      <c r="M9" s="108" t="e">
        <f ca="1"/>
        <v>#NAME?</v>
      </c>
      <c r="O9" t="str">
        <f>M2</f>
        <v>Negotiat</v>
      </c>
      <c r="P9">
        <f ca="1">COUNT(M3:M32)</f>
        <v>0</v>
      </c>
      <c r="Q9" t="e">
        <f ca="1">SUM(M3:M32)</f>
        <v>#NAME?</v>
      </c>
      <c r="R9" t="e">
        <f ca="1">AVERAGE(M3:M32)</f>
        <v>#NAME?</v>
      </c>
      <c r="S9" t="e">
        <f ca="1">VAR(M3:M32)</f>
        <v>#NAME?</v>
      </c>
      <c r="T9" t="e">
        <f ca="1">DEVSQ(M3:M32)</f>
        <v>#NAME?</v>
      </c>
      <c r="U9" t="e">
        <f ca="1">SQRT(R14/P9)</f>
        <v>#NAME?</v>
      </c>
      <c r="V9" t="e">
        <f ca="1">R9-U9*TINV(U5,P9-1)</f>
        <v>#NAME?</v>
      </c>
      <c r="W9" t="e">
        <f ca="1">R9+U9*TINV(U5,P9-1)</f>
        <v>#NAME?</v>
      </c>
    </row>
    <row r="10" spans="1:23" x14ac:dyDescent="0.25">
      <c r="A10" s="107">
        <v>48</v>
      </c>
      <c r="B10" s="23">
        <v>73</v>
      </c>
      <c r="C10" s="108">
        <v>53</v>
      </c>
      <c r="D10" s="107">
        <v>28</v>
      </c>
      <c r="E10" s="23">
        <v>35</v>
      </c>
      <c r="F10" s="7">
        <v>52</v>
      </c>
      <c r="G10" s="131">
        <v>35</v>
      </c>
      <c r="H10" s="7">
        <v>52</v>
      </c>
      <c r="I10" s="108">
        <v>62</v>
      </c>
      <c r="K10" s="107" t="e">
        <f ca="1"/>
        <v>#NAME?</v>
      </c>
      <c r="L10" s="7" t="e">
        <f ca="1"/>
        <v>#NAME?</v>
      </c>
      <c r="M10" s="108" t="e">
        <f ca="1"/>
        <v>#NAME?</v>
      </c>
      <c r="O10" s="205"/>
      <c r="P10" s="205"/>
      <c r="Q10" s="205"/>
      <c r="R10" s="205"/>
      <c r="S10" s="205"/>
      <c r="T10" s="205"/>
      <c r="U10" s="205"/>
      <c r="V10" s="205"/>
      <c r="W10" s="205"/>
    </row>
    <row r="11" spans="1:23" ht="15.75" thickBot="1" x14ac:dyDescent="0.3">
      <c r="A11" s="107">
        <v>72</v>
      </c>
      <c r="B11" s="23">
        <v>68</v>
      </c>
      <c r="C11" s="108">
        <v>51</v>
      </c>
      <c r="D11" s="107">
        <v>36</v>
      </c>
      <c r="E11" s="23">
        <v>30</v>
      </c>
      <c r="F11" s="7">
        <v>45</v>
      </c>
      <c r="G11" s="131">
        <v>30</v>
      </c>
      <c r="H11" s="7">
        <v>45</v>
      </c>
      <c r="I11" s="108">
        <v>67</v>
      </c>
      <c r="K11" s="107" t="e">
        <f ca="1"/>
        <v>#NAME?</v>
      </c>
      <c r="L11" s="7" t="e">
        <f ca="1"/>
        <v>#NAME?</v>
      </c>
      <c r="M11" s="108" t="e">
        <f ca="1"/>
        <v>#NAME?</v>
      </c>
      <c r="O11" t="s">
        <v>84</v>
      </c>
    </row>
    <row r="12" spans="1:23" ht="15.75" thickTop="1" x14ac:dyDescent="0.25">
      <c r="A12" s="107">
        <v>51</v>
      </c>
      <c r="B12" s="23">
        <v>71</v>
      </c>
      <c r="C12" s="108">
        <v>32</v>
      </c>
      <c r="D12" s="107">
        <v>41</v>
      </c>
      <c r="E12" s="23">
        <v>46</v>
      </c>
      <c r="F12" s="7">
        <v>48</v>
      </c>
      <c r="G12" s="131">
        <v>46</v>
      </c>
      <c r="H12" s="7">
        <v>48</v>
      </c>
      <c r="I12" s="108">
        <v>31</v>
      </c>
      <c r="K12" s="107" t="e">
        <f ca="1"/>
        <v>#NAME?</v>
      </c>
      <c r="L12" s="7" t="e">
        <f ca="1"/>
        <v>#NAME?</v>
      </c>
      <c r="M12" s="108" t="e">
        <f ca="1"/>
        <v>#NAME?</v>
      </c>
      <c r="O12" s="191" t="s">
        <v>100</v>
      </c>
      <c r="P12" s="191" t="s">
        <v>76</v>
      </c>
      <c r="Q12" s="191" t="s">
        <v>37</v>
      </c>
      <c r="R12" s="191" t="s">
        <v>78</v>
      </c>
      <c r="S12" s="191" t="s">
        <v>68</v>
      </c>
      <c r="T12" s="191" t="s">
        <v>101</v>
      </c>
      <c r="U12" s="191" t="s">
        <v>108</v>
      </c>
      <c r="V12" s="191" t="s">
        <v>408</v>
      </c>
      <c r="W12" s="191" t="s">
        <v>409</v>
      </c>
    </row>
    <row r="13" spans="1:23" x14ac:dyDescent="0.25">
      <c r="A13" s="107">
        <v>52</v>
      </c>
      <c r="B13" s="23">
        <v>59</v>
      </c>
      <c r="C13" s="108">
        <v>41</v>
      </c>
      <c r="D13" s="107">
        <v>64</v>
      </c>
      <c r="E13" s="23">
        <v>41</v>
      </c>
      <c r="F13" s="7">
        <v>38</v>
      </c>
      <c r="G13" s="131">
        <v>41</v>
      </c>
      <c r="H13" s="7">
        <v>38</v>
      </c>
      <c r="I13" s="108">
        <v>48</v>
      </c>
      <c r="K13" s="107" t="e">
        <f ca="1"/>
        <v>#NAME?</v>
      </c>
      <c r="L13" s="7" t="e">
        <f ca="1"/>
        <v>#NAME?</v>
      </c>
      <c r="M13" s="108" t="e">
        <f ca="1"/>
        <v>#NAME?</v>
      </c>
      <c r="O13" t="s">
        <v>103</v>
      </c>
      <c r="P13" t="e">
        <f ca="1">P15-P14</f>
        <v>#NAME?</v>
      </c>
      <c r="Q13">
        <f>COUNTA(O7:O9)-1</f>
        <v>2</v>
      </c>
      <c r="R13" t="e">
        <f ca="1">P13/Q13</f>
        <v>#NAME?</v>
      </c>
      <c r="S13" t="e">
        <f ca="1">R13/R14</f>
        <v>#NAME?</v>
      </c>
      <c r="T13" t="e">
        <f ca="1">FDIST(S13,Q13,Q14)</f>
        <v>#NAME?</v>
      </c>
      <c r="U13" t="e">
        <f ca="1">FINV(U5,Q13,Q14)</f>
        <v>#NUM!</v>
      </c>
      <c r="V13" t="e">
        <f ca="1">SQRT(DEVSQ(R7:R9)/(R14*Q13))</f>
        <v>#NAME?</v>
      </c>
      <c r="W13" t="e">
        <f ca="1">(P15-Q15*R14)/(P15+R14)</f>
        <v>#NAME?</v>
      </c>
    </row>
    <row r="14" spans="1:23" x14ac:dyDescent="0.25">
      <c r="A14" s="52">
        <v>60</v>
      </c>
      <c r="B14" s="185">
        <v>80</v>
      </c>
      <c r="C14" s="56">
        <v>45</v>
      </c>
      <c r="D14" s="52">
        <v>37</v>
      </c>
      <c r="E14" s="185">
        <v>34</v>
      </c>
      <c r="F14" s="185">
        <v>26</v>
      </c>
      <c r="G14" s="52">
        <v>34</v>
      </c>
      <c r="H14" s="185">
        <v>26</v>
      </c>
      <c r="I14" s="56">
        <v>75</v>
      </c>
      <c r="K14" s="107" t="e">
        <f ca="1"/>
        <v>#NAME?</v>
      </c>
      <c r="L14" s="7" t="e">
        <f ca="1"/>
        <v>#NAME?</v>
      </c>
      <c r="M14" s="108" t="e">
        <f ca="1"/>
        <v>#NAME?</v>
      </c>
      <c r="O14" t="s">
        <v>104</v>
      </c>
      <c r="P14" t="e">
        <f ca="1">SUM(T7:T9)</f>
        <v>#NAME?</v>
      </c>
      <c r="Q14">
        <f ca="1">Q15-Q13</f>
        <v>-3</v>
      </c>
      <c r="R14" t="e">
        <f ca="1">P14/Q14</f>
        <v>#NAME?</v>
      </c>
    </row>
    <row r="15" spans="1:23" x14ac:dyDescent="0.25">
      <c r="A15">
        <f t="shared" ref="A15:I15" si="0">AVERAGE(A5:A14)</f>
        <v>57.9</v>
      </c>
      <c r="B15">
        <f t="shared" si="0"/>
        <v>61.2</v>
      </c>
      <c r="C15">
        <f t="shared" si="0"/>
        <v>46.2</v>
      </c>
      <c r="D15">
        <f t="shared" si="0"/>
        <v>47.1</v>
      </c>
      <c r="E15">
        <f t="shared" si="0"/>
        <v>38.799999999999997</v>
      </c>
      <c r="F15">
        <f t="shared" si="0"/>
        <v>48.9</v>
      </c>
      <c r="G15">
        <f t="shared" si="0"/>
        <v>38.799999999999997</v>
      </c>
      <c r="H15">
        <f t="shared" si="0"/>
        <v>48.9</v>
      </c>
      <c r="I15">
        <f t="shared" si="0"/>
        <v>60.3</v>
      </c>
      <c r="K15" s="107" t="e">
        <f ca="1"/>
        <v>#NAME?</v>
      </c>
      <c r="L15" s="7" t="e">
        <f ca="1"/>
        <v>#NAME?</v>
      </c>
      <c r="M15" s="108" t="e">
        <f ca="1"/>
        <v>#NAME?</v>
      </c>
      <c r="O15" s="185" t="s">
        <v>1</v>
      </c>
      <c r="P15" s="185" t="e">
        <f ca="1">DEVSQ(K3:M32)</f>
        <v>#NAME?</v>
      </c>
      <c r="Q15" s="185">
        <f ca="1">COUNT(K3:M32)-1</f>
        <v>-1</v>
      </c>
      <c r="R15" s="185" t="e">
        <f ca="1">P15/Q15</f>
        <v>#NAME?</v>
      </c>
      <c r="S15" s="185"/>
      <c r="T15" s="185"/>
      <c r="U15" s="185"/>
      <c r="V15" s="185"/>
      <c r="W15" s="185"/>
    </row>
    <row r="16" spans="1:23" x14ac:dyDescent="0.25">
      <c r="K16" s="107" t="e">
        <f ca="1"/>
        <v>#NAME?</v>
      </c>
      <c r="L16" s="7" t="e">
        <f ca="1"/>
        <v>#NAME?</v>
      </c>
      <c r="M16" s="108" t="e">
        <f ca="1"/>
        <v>#NAME?</v>
      </c>
    </row>
    <row r="17" spans="11:13" x14ac:dyDescent="0.25">
      <c r="K17" s="107" t="e">
        <f ca="1"/>
        <v>#NAME?</v>
      </c>
      <c r="L17" s="7" t="e">
        <f ca="1"/>
        <v>#NAME?</v>
      </c>
      <c r="M17" s="108" t="e">
        <f ca="1"/>
        <v>#NAME?</v>
      </c>
    </row>
    <row r="18" spans="11:13" x14ac:dyDescent="0.25">
      <c r="K18" s="107" t="e">
        <f ca="1"/>
        <v>#NAME?</v>
      </c>
      <c r="L18" s="7" t="e">
        <f ca="1"/>
        <v>#NAME?</v>
      </c>
      <c r="M18" s="108" t="e">
        <f ca="1"/>
        <v>#NAME?</v>
      </c>
    </row>
    <row r="19" spans="11:13" x14ac:dyDescent="0.25">
      <c r="K19" s="107" t="e">
        <f ca="1"/>
        <v>#NAME?</v>
      </c>
      <c r="L19" s="7" t="e">
        <f ca="1"/>
        <v>#NAME?</v>
      </c>
      <c r="M19" s="108" t="e">
        <f ca="1"/>
        <v>#NAME?</v>
      </c>
    </row>
    <row r="20" spans="11:13" x14ac:dyDescent="0.25">
      <c r="K20" s="107" t="e">
        <f ca="1"/>
        <v>#NAME?</v>
      </c>
      <c r="L20" s="7" t="e">
        <f ca="1"/>
        <v>#NAME?</v>
      </c>
      <c r="M20" s="108" t="e">
        <f ca="1"/>
        <v>#NAME?</v>
      </c>
    </row>
    <row r="21" spans="11:13" x14ac:dyDescent="0.25">
      <c r="K21" s="107" t="e">
        <f ca="1"/>
        <v>#NAME?</v>
      </c>
      <c r="L21" s="7" t="e">
        <f ca="1"/>
        <v>#NAME?</v>
      </c>
      <c r="M21" s="108" t="e">
        <f ca="1"/>
        <v>#NAME?</v>
      </c>
    </row>
    <row r="22" spans="11:13" x14ac:dyDescent="0.25">
      <c r="K22" s="107" t="e">
        <f ca="1"/>
        <v>#NAME?</v>
      </c>
      <c r="L22" s="7" t="e">
        <f ca="1"/>
        <v>#NAME?</v>
      </c>
      <c r="M22" s="108" t="e">
        <f ca="1"/>
        <v>#NAME?</v>
      </c>
    </row>
    <row r="23" spans="11:13" x14ac:dyDescent="0.25">
      <c r="K23" s="107" t="e">
        <f ca="1"/>
        <v>#NAME?</v>
      </c>
      <c r="L23" s="7" t="e">
        <f ca="1"/>
        <v>#NAME?</v>
      </c>
      <c r="M23" s="108" t="e">
        <f ca="1"/>
        <v>#NAME?</v>
      </c>
    </row>
    <row r="24" spans="11:13" x14ac:dyDescent="0.25">
      <c r="K24" s="107" t="e">
        <f ca="1"/>
        <v>#NAME?</v>
      </c>
      <c r="L24" s="7" t="e">
        <f ca="1"/>
        <v>#NAME?</v>
      </c>
      <c r="M24" s="108" t="e">
        <f ca="1"/>
        <v>#NAME?</v>
      </c>
    </row>
    <row r="25" spans="11:13" x14ac:dyDescent="0.25">
      <c r="K25" s="107" t="e">
        <f ca="1"/>
        <v>#NAME?</v>
      </c>
      <c r="L25" s="7" t="e">
        <f ca="1"/>
        <v>#NAME?</v>
      </c>
      <c r="M25" s="108" t="e">
        <f ca="1"/>
        <v>#NAME?</v>
      </c>
    </row>
    <row r="26" spans="11:13" x14ac:dyDescent="0.25">
      <c r="K26" s="107" t="e">
        <f ca="1"/>
        <v>#NAME?</v>
      </c>
      <c r="L26" s="7" t="e">
        <f ca="1"/>
        <v>#NAME?</v>
      </c>
      <c r="M26" s="108" t="e">
        <f ca="1"/>
        <v>#NAME?</v>
      </c>
    </row>
    <row r="27" spans="11:13" x14ac:dyDescent="0.25">
      <c r="K27" s="107" t="e">
        <f ca="1"/>
        <v>#NAME?</v>
      </c>
      <c r="L27" s="7" t="e">
        <f ca="1"/>
        <v>#NAME?</v>
      </c>
      <c r="M27" s="108" t="e">
        <f ca="1"/>
        <v>#NAME?</v>
      </c>
    </row>
    <row r="28" spans="11:13" x14ac:dyDescent="0.25">
      <c r="K28" s="107" t="e">
        <f ca="1"/>
        <v>#NAME?</v>
      </c>
      <c r="L28" s="7" t="e">
        <f ca="1"/>
        <v>#NAME?</v>
      </c>
      <c r="M28" s="108" t="e">
        <f ca="1"/>
        <v>#NAME?</v>
      </c>
    </row>
    <row r="29" spans="11:13" x14ac:dyDescent="0.25">
      <c r="K29" s="107" t="e">
        <f ca="1"/>
        <v>#NAME?</v>
      </c>
      <c r="L29" s="7" t="e">
        <f ca="1"/>
        <v>#NAME?</v>
      </c>
      <c r="M29" s="108" t="e">
        <f ca="1"/>
        <v>#NAME?</v>
      </c>
    </row>
    <row r="30" spans="11:13" x14ac:dyDescent="0.25">
      <c r="K30" s="107" t="e">
        <f ca="1"/>
        <v>#NAME?</v>
      </c>
      <c r="L30" s="7" t="e">
        <f ca="1"/>
        <v>#NAME?</v>
      </c>
      <c r="M30" s="108" t="e">
        <f ca="1"/>
        <v>#NAME?</v>
      </c>
    </row>
    <row r="31" spans="11:13" x14ac:dyDescent="0.25">
      <c r="K31" s="107" t="e">
        <f ca="1"/>
        <v>#NAME?</v>
      </c>
      <c r="L31" s="7" t="e">
        <f ca="1"/>
        <v>#NAME?</v>
      </c>
      <c r="M31" s="108" t="e">
        <f ca="1"/>
        <v>#NAME?</v>
      </c>
    </row>
    <row r="32" spans="11:13" x14ac:dyDescent="0.25">
      <c r="K32" s="52" t="e">
        <f ca="1"/>
        <v>#NAME?</v>
      </c>
      <c r="L32" s="185" t="e">
        <f ca="1"/>
        <v>#NAME?</v>
      </c>
      <c r="M32" s="56" t="e">
        <f ca="1"/>
        <v>#NAME?</v>
      </c>
    </row>
  </sheetData>
  <mergeCells count="3">
    <mergeCell ref="A3:C3"/>
    <mergeCell ref="D3:F3"/>
    <mergeCell ref="G3:I3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AF49"/>
  <sheetViews>
    <sheetView workbookViewId="0"/>
  </sheetViews>
  <sheetFormatPr defaultRowHeight="15" x14ac:dyDescent="0.25"/>
  <cols>
    <col min="1" max="5" width="7.140625" customWidth="1"/>
    <col min="7" max="7" width="17.7109375" customWidth="1"/>
    <col min="24" max="24" width="16.85546875" customWidth="1"/>
  </cols>
  <sheetData>
    <row r="1" spans="1:32" x14ac:dyDescent="0.25">
      <c r="A1" s="1" t="s">
        <v>729</v>
      </c>
      <c r="G1" t="s">
        <v>105</v>
      </c>
      <c r="X1" t="s">
        <v>98</v>
      </c>
    </row>
    <row r="2" spans="1:32" x14ac:dyDescent="0.25">
      <c r="O2" t="s">
        <v>730</v>
      </c>
    </row>
    <row r="3" spans="1:32" ht="15.75" thickBot="1" x14ac:dyDescent="0.3">
      <c r="B3" s="475" t="s">
        <v>162</v>
      </c>
      <c r="C3" s="475"/>
      <c r="D3" s="475"/>
      <c r="E3" s="475"/>
      <c r="G3" t="s">
        <v>39</v>
      </c>
      <c r="X3" t="s">
        <v>99</v>
      </c>
      <c r="AC3" t="s">
        <v>17</v>
      </c>
      <c r="AD3">
        <v>0.05</v>
      </c>
    </row>
    <row r="4" spans="1:32" ht="15.75" thickTop="1" x14ac:dyDescent="0.25">
      <c r="A4" s="307" t="s">
        <v>163</v>
      </c>
      <c r="B4" s="307" t="s">
        <v>74</v>
      </c>
      <c r="C4" s="307" t="s">
        <v>65</v>
      </c>
      <c r="D4" s="307" t="s">
        <v>66</v>
      </c>
      <c r="E4" s="307" t="s">
        <v>67</v>
      </c>
      <c r="G4" s="310" t="s">
        <v>47</v>
      </c>
      <c r="H4" s="310" t="s">
        <v>11</v>
      </c>
      <c r="I4" s="310" t="s">
        <v>10</v>
      </c>
      <c r="J4" s="310" t="s">
        <v>106</v>
      </c>
      <c r="K4" s="310" t="s">
        <v>48</v>
      </c>
      <c r="O4" s="307">
        <v>1</v>
      </c>
      <c r="P4" s="307">
        <f t="shared" ref="P4:V4" si="0">O4+1</f>
        <v>2</v>
      </c>
      <c r="Q4" s="307">
        <f t="shared" si="0"/>
        <v>3</v>
      </c>
      <c r="R4" s="307">
        <f t="shared" si="0"/>
        <v>4</v>
      </c>
      <c r="S4" s="307">
        <f t="shared" si="0"/>
        <v>5</v>
      </c>
      <c r="T4" s="307">
        <f t="shared" si="0"/>
        <v>6</v>
      </c>
      <c r="U4" s="307">
        <f t="shared" si="0"/>
        <v>7</v>
      </c>
      <c r="V4" s="307">
        <f t="shared" si="0"/>
        <v>8</v>
      </c>
      <c r="X4" s="191" t="s">
        <v>47</v>
      </c>
      <c r="Y4" s="191" t="s">
        <v>11</v>
      </c>
      <c r="Z4" s="191" t="s">
        <v>10</v>
      </c>
      <c r="AA4" s="191" t="s">
        <v>8</v>
      </c>
      <c r="AB4" s="191" t="s">
        <v>48</v>
      </c>
      <c r="AC4" s="191" t="s">
        <v>76</v>
      </c>
      <c r="AD4" s="191" t="s">
        <v>36</v>
      </c>
      <c r="AE4" s="191" t="s">
        <v>91</v>
      </c>
      <c r="AF4" s="191" t="s">
        <v>92</v>
      </c>
    </row>
    <row r="5" spans="1:32" x14ac:dyDescent="0.25">
      <c r="A5" s="307">
        <v>1</v>
      </c>
      <c r="B5" s="311">
        <v>1</v>
      </c>
      <c r="C5" s="312">
        <v>2</v>
      </c>
      <c r="D5" s="312">
        <v>0</v>
      </c>
      <c r="E5" s="313">
        <v>1</v>
      </c>
      <c r="G5" s="16">
        <v>1</v>
      </c>
      <c r="H5" s="16">
        <v>4</v>
      </c>
      <c r="I5" s="16">
        <v>4</v>
      </c>
      <c r="J5" s="16">
        <v>1</v>
      </c>
      <c r="K5" s="16">
        <v>0.66666666666666663</v>
      </c>
      <c r="O5" s="311">
        <v>1</v>
      </c>
      <c r="P5" s="312">
        <v>1</v>
      </c>
      <c r="Q5" s="312">
        <v>3</v>
      </c>
      <c r="R5" s="312">
        <v>6</v>
      </c>
      <c r="S5" s="312">
        <v>6</v>
      </c>
      <c r="T5" s="312">
        <v>7</v>
      </c>
      <c r="U5" s="312">
        <v>8</v>
      </c>
      <c r="V5" s="313">
        <v>9</v>
      </c>
      <c r="X5">
        <f>O4</f>
        <v>1</v>
      </c>
      <c r="Y5">
        <f>COUNT(O5:O8)</f>
        <v>4</v>
      </c>
      <c r="Z5">
        <f>SUM(O5:O8)</f>
        <v>4</v>
      </c>
      <c r="AA5">
        <f>AVERAGE(O5:O8)</f>
        <v>1</v>
      </c>
      <c r="AB5">
        <f>VAR(O5:O8)</f>
        <v>0.66666666666666663</v>
      </c>
      <c r="AC5">
        <f>DEVSQ(O5:O8)</f>
        <v>2</v>
      </c>
      <c r="AD5">
        <f>SQRT(AA17/Y5)</f>
        <v>0.75863089400138017</v>
      </c>
      <c r="AE5">
        <f>AA5-AD5*TINV(AD3,Y5-1)</f>
        <v>-1.4143020856887696</v>
      </c>
      <c r="AF5">
        <f>AA5+AD5*TINV(AD3,Y5-1)</f>
        <v>3.4143020856887696</v>
      </c>
    </row>
    <row r="6" spans="1:32" x14ac:dyDescent="0.25">
      <c r="A6" s="307">
        <f>A5+1</f>
        <v>2</v>
      </c>
      <c r="B6" s="115">
        <v>1</v>
      </c>
      <c r="C6" s="308">
        <v>3</v>
      </c>
      <c r="D6" s="308">
        <v>3</v>
      </c>
      <c r="E6" s="72">
        <v>2</v>
      </c>
      <c r="G6" s="16">
        <v>2</v>
      </c>
      <c r="H6" s="16">
        <v>4</v>
      </c>
      <c r="I6" s="16">
        <v>9</v>
      </c>
      <c r="J6" s="16">
        <v>2.25</v>
      </c>
      <c r="K6" s="16">
        <v>0.91666666666666663</v>
      </c>
      <c r="O6" s="115">
        <v>2</v>
      </c>
      <c r="P6" s="308">
        <v>3</v>
      </c>
      <c r="Q6" s="308">
        <v>8</v>
      </c>
      <c r="R6" s="38">
        <v>4</v>
      </c>
      <c r="S6" s="38">
        <v>5</v>
      </c>
      <c r="T6" s="38">
        <v>5</v>
      </c>
      <c r="U6" s="38">
        <v>7</v>
      </c>
      <c r="V6" s="72">
        <v>9</v>
      </c>
      <c r="X6">
        <f>P4</f>
        <v>2</v>
      </c>
      <c r="Y6">
        <f>COUNT(P5:P8)</f>
        <v>4</v>
      </c>
      <c r="Z6">
        <f>SUM(P5:P8)</f>
        <v>9</v>
      </c>
      <c r="AA6">
        <f>AVERAGE(P5:P8)</f>
        <v>2.25</v>
      </c>
      <c r="AB6">
        <f>VAR(P5:P8)</f>
        <v>0.91666666666666663</v>
      </c>
      <c r="AC6">
        <f>DEVSQ(P5:P8)</f>
        <v>2.75</v>
      </c>
      <c r="AD6">
        <f>SQRT(AA17/Y6)</f>
        <v>0.75863089400138017</v>
      </c>
      <c r="AE6">
        <f>AA6-AD6*TINV(AD3,Y6-1)</f>
        <v>-0.16430208568876958</v>
      </c>
      <c r="AF6">
        <f>AA6+AD6*TINV(AD3,Y6-1)</f>
        <v>4.6643020856887691</v>
      </c>
    </row>
    <row r="7" spans="1:32" x14ac:dyDescent="0.25">
      <c r="A7" s="307">
        <f t="shared" ref="A7:A12" si="1">A6+1</f>
        <v>3</v>
      </c>
      <c r="B7" s="115">
        <v>3</v>
      </c>
      <c r="C7" s="308">
        <v>8</v>
      </c>
      <c r="D7" s="308">
        <v>1</v>
      </c>
      <c r="E7" s="72">
        <v>4</v>
      </c>
      <c r="G7" s="16">
        <v>3</v>
      </c>
      <c r="H7" s="16">
        <v>4</v>
      </c>
      <c r="I7" s="16">
        <v>16</v>
      </c>
      <c r="J7" s="16">
        <v>4</v>
      </c>
      <c r="K7" s="16">
        <v>8.6666666666666661</v>
      </c>
      <c r="O7" s="115">
        <v>0</v>
      </c>
      <c r="P7" s="308">
        <v>3</v>
      </c>
      <c r="Q7" s="308">
        <v>1</v>
      </c>
      <c r="R7" s="38">
        <v>3</v>
      </c>
      <c r="S7" s="38">
        <v>5</v>
      </c>
      <c r="T7" s="38">
        <v>6</v>
      </c>
      <c r="U7" s="38">
        <v>7</v>
      </c>
      <c r="V7" s="72">
        <v>9</v>
      </c>
      <c r="X7">
        <f>Q4</f>
        <v>3</v>
      </c>
      <c r="Y7">
        <f>COUNT(Q5:Q8)</f>
        <v>4</v>
      </c>
      <c r="Z7">
        <f>SUM(Q5:Q8)</f>
        <v>16</v>
      </c>
      <c r="AA7">
        <f>AVERAGE(Q5:Q8)</f>
        <v>4</v>
      </c>
      <c r="AB7">
        <f>VAR(Q5:Q8)</f>
        <v>8.6666666666666661</v>
      </c>
      <c r="AC7">
        <f>DEVSQ(Q5:Q8)</f>
        <v>26</v>
      </c>
      <c r="AD7">
        <f>SQRT(AA17/Y7)</f>
        <v>0.75863089400138017</v>
      </c>
      <c r="AE7">
        <f>AA7-AD7*TINV(AD3,Y7-1)</f>
        <v>1.5856979143112304</v>
      </c>
      <c r="AF7">
        <f>AA7+AD7*TINV(AD3,Y7-1)</f>
        <v>6.4143020856887691</v>
      </c>
    </row>
    <row r="8" spans="1:32" x14ac:dyDescent="0.25">
      <c r="A8" s="307">
        <f t="shared" si="1"/>
        <v>4</v>
      </c>
      <c r="B8" s="115">
        <v>6</v>
      </c>
      <c r="C8" s="38">
        <v>4</v>
      </c>
      <c r="D8" s="38">
        <v>3</v>
      </c>
      <c r="E8" s="72">
        <v>3</v>
      </c>
      <c r="G8" s="16">
        <v>4</v>
      </c>
      <c r="H8" s="16">
        <v>4</v>
      </c>
      <c r="I8" s="16">
        <v>16</v>
      </c>
      <c r="J8" s="16">
        <v>4</v>
      </c>
      <c r="K8" s="16">
        <v>2</v>
      </c>
      <c r="O8" s="62">
        <v>1</v>
      </c>
      <c r="P8" s="309">
        <v>2</v>
      </c>
      <c r="Q8" s="309">
        <v>4</v>
      </c>
      <c r="R8" s="309">
        <v>3</v>
      </c>
      <c r="S8" s="309">
        <v>6</v>
      </c>
      <c r="T8" s="309">
        <v>2</v>
      </c>
      <c r="U8" s="309">
        <v>9</v>
      </c>
      <c r="V8" s="54">
        <v>8</v>
      </c>
      <c r="X8">
        <f>R4</f>
        <v>4</v>
      </c>
      <c r="Y8">
        <f>COUNT(R5:R8)</f>
        <v>4</v>
      </c>
      <c r="Z8">
        <f>SUM(R5:R8)</f>
        <v>16</v>
      </c>
      <c r="AA8">
        <f>AVERAGE(R5:R8)</f>
        <v>4</v>
      </c>
      <c r="AB8">
        <f>VAR(R5:R8)</f>
        <v>2</v>
      </c>
      <c r="AC8">
        <f>DEVSQ(R5:R8)</f>
        <v>6</v>
      </c>
      <c r="AD8">
        <f>SQRT(AA17/Y8)</f>
        <v>0.75863089400138017</v>
      </c>
      <c r="AE8">
        <f>AA8-AD8*TINV(AD3,Y8-1)</f>
        <v>1.5856979143112304</v>
      </c>
      <c r="AF8">
        <f>AA8+AD8*TINV(AD3,Y8-1)</f>
        <v>6.4143020856887691</v>
      </c>
    </row>
    <row r="9" spans="1:32" x14ac:dyDescent="0.25">
      <c r="A9" s="307">
        <f t="shared" si="1"/>
        <v>5</v>
      </c>
      <c r="B9" s="115">
        <v>6</v>
      </c>
      <c r="C9" s="38">
        <v>5</v>
      </c>
      <c r="D9" s="38">
        <v>5</v>
      </c>
      <c r="E9" s="72">
        <v>6</v>
      </c>
      <c r="G9" s="16">
        <v>5</v>
      </c>
      <c r="H9" s="16">
        <v>4</v>
      </c>
      <c r="I9" s="16">
        <v>22</v>
      </c>
      <c r="J9" s="16">
        <v>5.5</v>
      </c>
      <c r="K9" s="16">
        <v>0.33333333333333331</v>
      </c>
      <c r="X9">
        <f>S4</f>
        <v>5</v>
      </c>
      <c r="Y9">
        <f>COUNT(S5:S8)</f>
        <v>4</v>
      </c>
      <c r="Z9">
        <f>SUM(S5:S8)</f>
        <v>22</v>
      </c>
      <c r="AA9">
        <f>AVERAGE(S5:S8)</f>
        <v>5.5</v>
      </c>
      <c r="AB9">
        <f>VAR(S5:S8)</f>
        <v>0.33333333333333331</v>
      </c>
      <c r="AC9">
        <f>DEVSQ(S5:S8)</f>
        <v>1</v>
      </c>
      <c r="AD9">
        <f>SQRT(AA17/Y9)</f>
        <v>0.75863089400138017</v>
      </c>
      <c r="AE9">
        <f>AA9-AD9*TINV(AD3,Y9-1)</f>
        <v>3.0856979143112304</v>
      </c>
      <c r="AF9">
        <f>AA9+AD9*TINV(AD3,Y9-1)</f>
        <v>7.9143020856887691</v>
      </c>
    </row>
    <row r="10" spans="1:32" x14ac:dyDescent="0.25">
      <c r="A10" s="307">
        <f t="shared" si="1"/>
        <v>6</v>
      </c>
      <c r="B10" s="115">
        <v>7</v>
      </c>
      <c r="C10" s="38">
        <v>5</v>
      </c>
      <c r="D10" s="38">
        <v>6</v>
      </c>
      <c r="E10" s="72">
        <v>2</v>
      </c>
      <c r="G10" s="16">
        <v>6</v>
      </c>
      <c r="H10" s="16">
        <v>4</v>
      </c>
      <c r="I10" s="16">
        <v>20</v>
      </c>
      <c r="J10" s="16">
        <v>5</v>
      </c>
      <c r="K10" s="16">
        <v>4.666666666666667</v>
      </c>
      <c r="O10" t="s">
        <v>731</v>
      </c>
      <c r="X10">
        <f>T4</f>
        <v>6</v>
      </c>
      <c r="Y10">
        <f>COUNT(T5:T8)</f>
        <v>4</v>
      </c>
      <c r="Z10">
        <f>SUM(T5:T8)</f>
        <v>20</v>
      </c>
      <c r="AA10">
        <f>AVERAGE(T5:T8)</f>
        <v>5</v>
      </c>
      <c r="AB10">
        <f>VAR(T5:T8)</f>
        <v>4.666666666666667</v>
      </c>
      <c r="AC10">
        <f>DEVSQ(T5:T8)</f>
        <v>14</v>
      </c>
      <c r="AD10">
        <f>SQRT(AA17/Y10)</f>
        <v>0.75863089400138017</v>
      </c>
      <c r="AE10">
        <f>AA10-AD10*TINV(AD3,Y10-1)</f>
        <v>2.5856979143112304</v>
      </c>
      <c r="AF10">
        <f>AA10+AD10*TINV(AD3,Y10-1)</f>
        <v>7.4143020856887691</v>
      </c>
    </row>
    <row r="11" spans="1:32" x14ac:dyDescent="0.25">
      <c r="A11" s="307">
        <f t="shared" si="1"/>
        <v>7</v>
      </c>
      <c r="B11" s="115">
        <v>8</v>
      </c>
      <c r="C11" s="38">
        <v>7</v>
      </c>
      <c r="D11" s="38">
        <v>7</v>
      </c>
      <c r="E11" s="72">
        <v>9</v>
      </c>
      <c r="G11" s="16">
        <v>7</v>
      </c>
      <c r="H11" s="16">
        <v>4</v>
      </c>
      <c r="I11" s="16">
        <v>31</v>
      </c>
      <c r="J11" s="16">
        <v>7.75</v>
      </c>
      <c r="K11" s="16">
        <v>0.91666666666666663</v>
      </c>
      <c r="X11">
        <f>U4</f>
        <v>7</v>
      </c>
      <c r="Y11">
        <f>COUNT(U5:U8)</f>
        <v>4</v>
      </c>
      <c r="Z11">
        <f>SUM(U5:U8)</f>
        <v>31</v>
      </c>
      <c r="AA11">
        <f>AVERAGE(U5:U8)</f>
        <v>7.75</v>
      </c>
      <c r="AB11">
        <f>VAR(U5:U8)</f>
        <v>0.91666666666666663</v>
      </c>
      <c r="AC11">
        <f>DEVSQ(U5:U8)</f>
        <v>2.75</v>
      </c>
      <c r="AD11">
        <f>SQRT(AA17/Y11)</f>
        <v>0.75863089400138017</v>
      </c>
      <c r="AE11">
        <f>AA11-AD11*TINV(AD3,Y11-1)</f>
        <v>5.3356979143112309</v>
      </c>
      <c r="AF11">
        <f>AA11+AD11*TINV(AD3,Y11-1)</f>
        <v>10.164302085688769</v>
      </c>
    </row>
    <row r="12" spans="1:32" ht="15.75" thickBot="1" x14ac:dyDescent="0.3">
      <c r="A12" s="307">
        <f t="shared" si="1"/>
        <v>8</v>
      </c>
      <c r="B12" s="62">
        <v>9</v>
      </c>
      <c r="C12" s="309">
        <v>9</v>
      </c>
      <c r="D12" s="309">
        <v>9</v>
      </c>
      <c r="E12" s="54">
        <v>8</v>
      </c>
      <c r="G12" s="17">
        <v>8</v>
      </c>
      <c r="H12" s="17">
        <v>4</v>
      </c>
      <c r="I12" s="17">
        <v>35</v>
      </c>
      <c r="J12" s="17">
        <v>8.75</v>
      </c>
      <c r="K12" s="17">
        <v>0.25</v>
      </c>
      <c r="O12" t="s">
        <v>507</v>
      </c>
      <c r="P12" s="148" t="e">
        <f ca="1">(MSBet(O5:V8)-MSW(O5:V8))/(MSBet(O5:V8)+(COUNTA(O5:O8)-1)*MSW(O5:V8))</f>
        <v>#NAME?</v>
      </c>
      <c r="X12">
        <f>V4</f>
        <v>8</v>
      </c>
      <c r="Y12">
        <f>COUNT(V5:V8)</f>
        <v>4</v>
      </c>
      <c r="Z12">
        <f>SUM(V5:V8)</f>
        <v>35</v>
      </c>
      <c r="AA12">
        <f>AVERAGE(V5:V8)</f>
        <v>8.75</v>
      </c>
      <c r="AB12">
        <f>VAR(V5:V8)</f>
        <v>0.25</v>
      </c>
      <c r="AC12">
        <f>DEVSQ(V5:V8)</f>
        <v>0.75</v>
      </c>
      <c r="AD12">
        <f>SQRT(AA17/Y12)</f>
        <v>0.75863089400138017</v>
      </c>
      <c r="AE12">
        <f>AA12-AD12*TINV(AD3,Y12-1)</f>
        <v>6.3356979143112309</v>
      </c>
      <c r="AF12">
        <f>AA12+AD12*TINV(AD3,Y12-1)</f>
        <v>11.164302085688769</v>
      </c>
    </row>
    <row r="13" spans="1:32" x14ac:dyDescent="0.25">
      <c r="X13" s="304"/>
      <c r="Y13" s="304"/>
      <c r="Z13" s="304"/>
      <c r="AA13" s="304"/>
      <c r="AB13" s="304"/>
      <c r="AC13" s="304"/>
      <c r="AD13" s="304"/>
      <c r="AE13" s="304"/>
      <c r="AF13" s="304"/>
    </row>
    <row r="14" spans="1:32" ht="15.75" thickBot="1" x14ac:dyDescent="0.3">
      <c r="O14" s="14" t="s">
        <v>732</v>
      </c>
      <c r="X14" t="s">
        <v>84</v>
      </c>
    </row>
    <row r="15" spans="1:32" ht="16.5" thickTop="1" thickBot="1" x14ac:dyDescent="0.3">
      <c r="G15" t="s">
        <v>84</v>
      </c>
      <c r="X15" s="191" t="s">
        <v>100</v>
      </c>
      <c r="Y15" s="191" t="s">
        <v>76</v>
      </c>
      <c r="Z15" s="191" t="s">
        <v>37</v>
      </c>
      <c r="AA15" s="191" t="s">
        <v>78</v>
      </c>
      <c r="AB15" s="191" t="s">
        <v>68</v>
      </c>
      <c r="AC15" s="191" t="s">
        <v>101</v>
      </c>
      <c r="AD15" s="191" t="s">
        <v>108</v>
      </c>
      <c r="AE15" s="191" t="s">
        <v>408</v>
      </c>
      <c r="AF15" s="191" t="s">
        <v>409</v>
      </c>
    </row>
    <row r="16" spans="1:32" x14ac:dyDescent="0.25">
      <c r="G16" s="310" t="s">
        <v>107</v>
      </c>
      <c r="H16" s="310" t="s">
        <v>76</v>
      </c>
      <c r="I16" s="310" t="s">
        <v>37</v>
      </c>
      <c r="J16" s="310" t="s">
        <v>78</v>
      </c>
      <c r="K16" s="310" t="s">
        <v>68</v>
      </c>
      <c r="L16" s="310" t="s">
        <v>62</v>
      </c>
      <c r="M16" s="310" t="s">
        <v>108</v>
      </c>
      <c r="O16" t="s">
        <v>733</v>
      </c>
      <c r="P16" s="272" t="e">
        <f ca="1">MSBet(O5:V8)</f>
        <v>#NAME?</v>
      </c>
      <c r="R16" t="e">
        <f ca="1">FTEXT(P16)</f>
        <v>#NAME?</v>
      </c>
      <c r="X16" t="s">
        <v>103</v>
      </c>
      <c r="Y16">
        <f>Y18-Y17</f>
        <v>188.21875</v>
      </c>
      <c r="Z16">
        <f>COUNTA(X5:X12)-1</f>
        <v>7</v>
      </c>
      <c r="AA16">
        <f>Y16/Z16</f>
        <v>26.888392857142858</v>
      </c>
      <c r="AB16">
        <f>AA16/AA17</f>
        <v>11.680025856496444</v>
      </c>
      <c r="AC16">
        <f>FDIST(AB16,Z16,Z17)</f>
        <v>2.1813509548618397E-6</v>
      </c>
      <c r="AD16">
        <f>FINV(AD3,Z16,Z17)</f>
        <v>2.4226285334209159</v>
      </c>
      <c r="AE16">
        <f>SQRT(DEVSQ(AA5:AA12)/(AA17*Z16))</f>
        <v>1.7088026404837133</v>
      </c>
      <c r="AF16">
        <f>(Y18-Z18*AA17)/(Y18+AA17)</f>
        <v>0.70026277867254383</v>
      </c>
    </row>
    <row r="17" spans="7:32" x14ac:dyDescent="0.25">
      <c r="G17" s="16" t="s">
        <v>103</v>
      </c>
      <c r="H17" s="16">
        <v>188.21875</v>
      </c>
      <c r="I17" s="16">
        <v>7</v>
      </c>
      <c r="J17" s="16">
        <v>26.888392857142858</v>
      </c>
      <c r="K17" s="16">
        <v>11.680025856496444</v>
      </c>
      <c r="L17" s="16">
        <v>2.1813509548618397E-6</v>
      </c>
      <c r="M17" s="16">
        <v>2.4226285334209159</v>
      </c>
      <c r="O17" s="48" t="s">
        <v>109</v>
      </c>
      <c r="P17" s="78" t="e">
        <f ca="1">MSW(O5:V8)</f>
        <v>#NAME?</v>
      </c>
      <c r="R17" t="e">
        <f ca="1">FTEXT(P17)</f>
        <v>#NAME?</v>
      </c>
      <c r="X17" t="s">
        <v>104</v>
      </c>
      <c r="Y17">
        <f>SUM(AC5:AC12)</f>
        <v>55.25</v>
      </c>
      <c r="Z17">
        <f>Z18-Z16</f>
        <v>24</v>
      </c>
      <c r="AA17">
        <f>Y17/Z17</f>
        <v>2.3020833333333335</v>
      </c>
    </row>
    <row r="18" spans="7:32" x14ac:dyDescent="0.25">
      <c r="G18" s="16" t="s">
        <v>104</v>
      </c>
      <c r="H18" s="16">
        <v>55.25</v>
      </c>
      <c r="I18" s="16">
        <v>24</v>
      </c>
      <c r="J18" s="16">
        <v>2.3020833333333335</v>
      </c>
      <c r="K18" s="16"/>
      <c r="L18" s="16"/>
      <c r="M18" s="16"/>
      <c r="O18" t="s">
        <v>34</v>
      </c>
      <c r="P18" s="78">
        <f>COUNTA(O5:O8)</f>
        <v>4</v>
      </c>
      <c r="R18" t="e">
        <f ca="1">FTEXT(P18)</f>
        <v>#NAME?</v>
      </c>
      <c r="X18" s="185" t="s">
        <v>1</v>
      </c>
      <c r="Y18" s="185">
        <f>DEVSQ(O5:V8)</f>
        <v>243.46875</v>
      </c>
      <c r="Z18" s="185">
        <f>COUNT(O5:V8)-1</f>
        <v>31</v>
      </c>
      <c r="AA18" s="185">
        <f>Y18/Z18</f>
        <v>7.85383064516129</v>
      </c>
      <c r="AB18" s="185"/>
      <c r="AC18" s="185"/>
      <c r="AD18" s="185"/>
      <c r="AE18" s="185"/>
      <c r="AF18" s="185"/>
    </row>
    <row r="19" spans="7:32" x14ac:dyDescent="0.25">
      <c r="G19" s="16"/>
      <c r="H19" s="16"/>
      <c r="I19" s="16"/>
      <c r="J19" s="16"/>
      <c r="K19" s="16"/>
      <c r="L19" s="16"/>
      <c r="M19" s="16"/>
      <c r="O19" t="s">
        <v>507</v>
      </c>
      <c r="P19" s="58" t="e">
        <f ca="1">(P16-P17)/(P16+((P18-1)*P17))</f>
        <v>#NAME?</v>
      </c>
      <c r="R19" t="e">
        <f ca="1">FTEXT(P19)</f>
        <v>#NAME?</v>
      </c>
    </row>
    <row r="20" spans="7:32" ht="15.75" thickBot="1" x14ac:dyDescent="0.3">
      <c r="G20" s="17" t="s">
        <v>1</v>
      </c>
      <c r="H20" s="17">
        <v>243.46875</v>
      </c>
      <c r="I20" s="17">
        <v>31</v>
      </c>
      <c r="J20" s="17"/>
      <c r="K20" s="17"/>
      <c r="L20" s="17"/>
      <c r="M20" s="17"/>
    </row>
    <row r="21" spans="7:32" x14ac:dyDescent="0.25">
      <c r="O21" t="s">
        <v>734</v>
      </c>
    </row>
    <row r="22" spans="7:32" x14ac:dyDescent="0.25">
      <c r="H22" t="s">
        <v>735</v>
      </c>
      <c r="I22" s="148">
        <f>(J17-J18)/(J17+((H5-1)*J18))</f>
        <v>0.72752091589608103</v>
      </c>
      <c r="K22" t="e">
        <f ca="1">FTEXT(I22)</f>
        <v>#NAME?</v>
      </c>
    </row>
    <row r="23" spans="7:32" x14ac:dyDescent="0.25">
      <c r="O23" t="s">
        <v>58</v>
      </c>
      <c r="P23" s="272">
        <v>0.05</v>
      </c>
    </row>
    <row r="24" spans="7:32" x14ac:dyDescent="0.25">
      <c r="H24" t="s">
        <v>58</v>
      </c>
      <c r="I24" s="272">
        <v>0.05</v>
      </c>
      <c r="O24" t="s">
        <v>34</v>
      </c>
      <c r="P24" s="78">
        <f>P18</f>
        <v>4</v>
      </c>
      <c r="R24" t="e">
        <f ca="1">FTEXT(P24)</f>
        <v>#NAME?</v>
      </c>
    </row>
    <row r="25" spans="7:32" x14ac:dyDescent="0.25">
      <c r="H25" t="s">
        <v>34</v>
      </c>
      <c r="I25" s="78">
        <f>H5</f>
        <v>4</v>
      </c>
      <c r="K25" t="e">
        <f ca="1">FTEXT(I25)</f>
        <v>#NAME?</v>
      </c>
      <c r="O25" t="s">
        <v>16</v>
      </c>
      <c r="P25" s="78">
        <f>COUNTA(O4:V4)</f>
        <v>8</v>
      </c>
      <c r="R25" t="e">
        <f ca="1">FTEXT(P25)</f>
        <v>#NAME?</v>
      </c>
    </row>
    <row r="26" spans="7:32" x14ac:dyDescent="0.25">
      <c r="H26" t="s">
        <v>116</v>
      </c>
      <c r="I26" s="78">
        <f>I17</f>
        <v>7</v>
      </c>
      <c r="K26" t="e">
        <f ca="1">FTEXT(I26)</f>
        <v>#NAME?</v>
      </c>
      <c r="O26" t="s">
        <v>736</v>
      </c>
      <c r="P26" s="78">
        <f>P25-1</f>
        <v>7</v>
      </c>
      <c r="R26" t="e">
        <f ca="1">FTEXT(P26)</f>
        <v>#NAME?</v>
      </c>
    </row>
    <row r="27" spans="7:32" x14ac:dyDescent="0.25">
      <c r="H27" t="s">
        <v>117</v>
      </c>
      <c r="I27" s="78">
        <f>I18</f>
        <v>24</v>
      </c>
      <c r="K27" t="e">
        <f ca="1">FTEXT(I27)</f>
        <v>#NAME?</v>
      </c>
      <c r="O27" t="s">
        <v>737</v>
      </c>
      <c r="P27" s="78">
        <f>P25*(P24-1)</f>
        <v>24</v>
      </c>
      <c r="R27" t="e">
        <f ca="1">FTEXT(P27)</f>
        <v>#NAME?</v>
      </c>
    </row>
    <row r="28" spans="7:32" x14ac:dyDescent="0.25">
      <c r="H28" t="s">
        <v>68</v>
      </c>
      <c r="I28" s="78">
        <f>K17</f>
        <v>11.680025856496444</v>
      </c>
      <c r="K28" t="e">
        <f ca="1">FTEXT(I28)</f>
        <v>#NAME?</v>
      </c>
      <c r="O28" t="s">
        <v>68</v>
      </c>
      <c r="P28" s="78" t="b">
        <f ca="1">_xll.ANOVA1(O5:V8)</f>
        <v>0</v>
      </c>
      <c r="R28" t="e">
        <f ca="1">FTEXT(P28)</f>
        <v>#NAME?</v>
      </c>
    </row>
    <row r="29" spans="7:32" x14ac:dyDescent="0.25">
      <c r="H29" t="s">
        <v>530</v>
      </c>
      <c r="I29" s="78">
        <f>I28/FINV(I24/2,I26,I27)</f>
        <v>4.0643025185585042</v>
      </c>
      <c r="K29" t="e">
        <f ca="1">FTEXT(I29)</f>
        <v>#NAME?</v>
      </c>
      <c r="O29" t="s">
        <v>530</v>
      </c>
      <c r="P29" s="78">
        <f ca="1">P28/FINV(P23/2,P26,P27)</f>
        <v>0</v>
      </c>
      <c r="R29" t="e">
        <f ca="1">FTEXT(P29)</f>
        <v>#NAME?</v>
      </c>
    </row>
    <row r="30" spans="7:32" x14ac:dyDescent="0.25">
      <c r="H30" t="s">
        <v>531</v>
      </c>
      <c r="I30" s="78">
        <f>I28*FINV(I24/2,I27,I26)</f>
        <v>51.567303236605973</v>
      </c>
      <c r="K30" t="e">
        <f ca="1">FTEXT(I30)</f>
        <v>#NAME?</v>
      </c>
      <c r="O30" t="s">
        <v>531</v>
      </c>
      <c r="P30" s="78">
        <f ca="1">P28*FINV(P23/2,P27,P26)</f>
        <v>0</v>
      </c>
      <c r="R30" t="e">
        <f ca="1">FTEXT(P30)</f>
        <v>#NAME?</v>
      </c>
    </row>
    <row r="31" spans="7:32" x14ac:dyDescent="0.25">
      <c r="H31" t="s">
        <v>14</v>
      </c>
      <c r="I31" s="78">
        <f>(I29-1)/(I29+I25-1)</f>
        <v>0.43377283327098881</v>
      </c>
      <c r="K31" t="e">
        <f ca="1">FTEXT(I31)</f>
        <v>#NAME?</v>
      </c>
      <c r="O31" t="s">
        <v>14</v>
      </c>
      <c r="P31" s="78">
        <f ca="1">(P29-1)/(P29+P24-1)</f>
        <v>-0.33333333333333331</v>
      </c>
      <c r="R31" t="e">
        <f ca="1">FTEXT(P31)</f>
        <v>#NAME?</v>
      </c>
    </row>
    <row r="32" spans="7:32" x14ac:dyDescent="0.25">
      <c r="H32" t="s">
        <v>15</v>
      </c>
      <c r="I32" s="58">
        <f>(I30-1)/(I30+I25-1)</f>
        <v>0.92669602925664396</v>
      </c>
      <c r="K32" t="e">
        <f ca="1">FTEXT(I32)</f>
        <v>#NAME?</v>
      </c>
      <c r="O32" t="s">
        <v>15</v>
      </c>
      <c r="P32" s="58">
        <f ca="1">(P30-1)/(P30+P24-1)</f>
        <v>-0.33333333333333331</v>
      </c>
      <c r="R32" t="e">
        <f ca="1">FTEXT(P32)</f>
        <v>#NAME?</v>
      </c>
    </row>
    <row r="34" spans="8:11" x14ac:dyDescent="0.25">
      <c r="H34" t="s">
        <v>738</v>
      </c>
      <c r="I34" s="272">
        <f>(J17-J18)/J17</f>
        <v>0.91438375117604742</v>
      </c>
      <c r="K34" t="e">
        <f ca="1">FTEXT(I34)</f>
        <v>#NAME?</v>
      </c>
    </row>
    <row r="35" spans="8:11" x14ac:dyDescent="0.25">
      <c r="H35" t="s">
        <v>14</v>
      </c>
      <c r="I35" s="78">
        <f>1-1/I29</f>
        <v>0.75395532310063562</v>
      </c>
      <c r="K35" t="e">
        <f ca="1">FTEXT(I35)</f>
        <v>#NAME?</v>
      </c>
    </row>
    <row r="36" spans="8:11" x14ac:dyDescent="0.25">
      <c r="H36" t="s">
        <v>15</v>
      </c>
      <c r="I36" s="58">
        <f>1-1/I30</f>
        <v>0.98060786705460035</v>
      </c>
      <c r="K36" t="e">
        <f ca="1">FTEXT(I36)</f>
        <v>#NAME?</v>
      </c>
    </row>
    <row r="38" spans="8:11" x14ac:dyDescent="0.25">
      <c r="H38" t="s">
        <v>637</v>
      </c>
    </row>
    <row r="40" spans="8:11" x14ac:dyDescent="0.25">
      <c r="H40" t="s">
        <v>735</v>
      </c>
      <c r="I40" s="272" t="e">
        <f ca="1">ICC(B5:E12,1,1)</f>
        <v>#NAME?</v>
      </c>
      <c r="K40" t="e">
        <f ca="1">FTEXT(I40)</f>
        <v>#NAME?</v>
      </c>
    </row>
    <row r="41" spans="8:11" x14ac:dyDescent="0.25">
      <c r="H41" t="s">
        <v>738</v>
      </c>
      <c r="I41" s="58" t="e">
        <f ca="1">ICC(B5:E12,1,4)</f>
        <v>#NAME?</v>
      </c>
      <c r="K41" t="e">
        <f ca="1">FTEXT(I41)</f>
        <v>#NAME?</v>
      </c>
    </row>
    <row r="43" spans="8:11" x14ac:dyDescent="0.25">
      <c r="H43" t="e">
        <f t="array" aca="1" ref="H43:I45" ca="1">ICC(B5:E12,1,1,TRUE)</f>
        <v>#NAME?</v>
      </c>
      <c r="I43" s="272" t="e">
        <f ca="1"/>
        <v>#NAME?</v>
      </c>
      <c r="K43" t="e">
        <f ca="1">FTEXT(I43)</f>
        <v>#NAME?</v>
      </c>
    </row>
    <row r="44" spans="8:11" x14ac:dyDescent="0.25">
      <c r="H44" t="e">
        <f ca="1"/>
        <v>#NAME?</v>
      </c>
      <c r="I44" s="78" t="e">
        <f ca="1"/>
        <v>#NAME?</v>
      </c>
    </row>
    <row r="45" spans="8:11" x14ac:dyDescent="0.25">
      <c r="H45" t="e">
        <f ca="1"/>
        <v>#NAME?</v>
      </c>
      <c r="I45" s="58" t="e">
        <f ca="1"/>
        <v>#NAME?</v>
      </c>
    </row>
    <row r="47" spans="8:11" x14ac:dyDescent="0.25">
      <c r="H47" t="e">
        <f t="array" aca="1" ref="H47:I49" ca="1">ICC(B5:E12,1,4,TRUE)</f>
        <v>#NAME?</v>
      </c>
      <c r="I47" s="272" t="e">
        <f ca="1"/>
        <v>#NAME?</v>
      </c>
      <c r="K47" t="e">
        <f ca="1">FTEXT(I47)</f>
        <v>#NAME?</v>
      </c>
    </row>
    <row r="48" spans="8:11" x14ac:dyDescent="0.25">
      <c r="H48" t="e">
        <f ca="1"/>
        <v>#NAME?</v>
      </c>
      <c r="I48" s="78" t="e">
        <f ca="1"/>
        <v>#NAME?</v>
      </c>
    </row>
    <row r="49" spans="8:9" x14ac:dyDescent="0.25">
      <c r="H49" t="e">
        <f ca="1"/>
        <v>#NAME?</v>
      </c>
      <c r="I49" s="58" t="e">
        <f ca="1"/>
        <v>#NAME?</v>
      </c>
    </row>
  </sheetData>
  <mergeCells count="1">
    <mergeCell ref="B3:E3"/>
  </mergeCells>
  <pageMargins left="0.7" right="0.7" top="0.75" bottom="0.75" header="0.3" footer="0.3"/>
  <ignoredErrors>
    <ignoredError sqref="P18" formulaRange="1"/>
  </ignoredError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6"/>
  <dimension ref="A1:G14"/>
  <sheetViews>
    <sheetView workbookViewId="0"/>
  </sheetViews>
  <sheetFormatPr defaultRowHeight="15" x14ac:dyDescent="0.25"/>
  <sheetData>
    <row r="1" spans="1:7" x14ac:dyDescent="0.25">
      <c r="A1" s="1" t="s">
        <v>639</v>
      </c>
    </row>
    <row r="3" spans="1:7" x14ac:dyDescent="0.25">
      <c r="A3" t="s">
        <v>16</v>
      </c>
      <c r="B3" s="207">
        <v>50</v>
      </c>
      <c r="C3" s="205">
        <v>100</v>
      </c>
      <c r="D3" s="208">
        <v>100</v>
      </c>
      <c r="F3" t="s">
        <v>640</v>
      </c>
      <c r="G3" s="255">
        <v>0.2</v>
      </c>
    </row>
    <row r="4" spans="1:7" x14ac:dyDescent="0.25">
      <c r="A4" t="s">
        <v>34</v>
      </c>
      <c r="B4" s="107">
        <v>5</v>
      </c>
      <c r="C4" s="7">
        <v>10</v>
      </c>
      <c r="D4" s="108">
        <v>20</v>
      </c>
      <c r="F4" t="s">
        <v>641</v>
      </c>
      <c r="G4" s="78">
        <v>0.3</v>
      </c>
    </row>
    <row r="5" spans="1:7" x14ac:dyDescent="0.25">
      <c r="A5" t="s">
        <v>116</v>
      </c>
      <c r="B5" s="107">
        <f>B3-1</f>
        <v>49</v>
      </c>
      <c r="C5" s="7">
        <f>C3-1</f>
        <v>99</v>
      </c>
      <c r="D5" s="108">
        <f>D3-1</f>
        <v>99</v>
      </c>
      <c r="F5" t="s">
        <v>34</v>
      </c>
      <c r="G5" s="78">
        <v>5</v>
      </c>
    </row>
    <row r="6" spans="1:7" x14ac:dyDescent="0.25">
      <c r="A6" t="s">
        <v>117</v>
      </c>
      <c r="B6" s="107">
        <f>B3*(B4-1)</f>
        <v>200</v>
      </c>
      <c r="C6" s="7">
        <f>C3*(C4-1)</f>
        <v>900</v>
      </c>
      <c r="D6" s="108">
        <f>D3*(D4-1)</f>
        <v>1900</v>
      </c>
      <c r="F6" t="s">
        <v>553</v>
      </c>
      <c r="G6" s="78">
        <v>0.95</v>
      </c>
    </row>
    <row r="7" spans="1:7" x14ac:dyDescent="0.25">
      <c r="A7" t="s">
        <v>58</v>
      </c>
      <c r="B7" s="107">
        <v>0.05</v>
      </c>
      <c r="C7" s="7">
        <v>0.05</v>
      </c>
      <c r="D7" s="108">
        <v>0.05</v>
      </c>
      <c r="F7" t="s">
        <v>58</v>
      </c>
      <c r="G7" s="78">
        <v>0.05</v>
      </c>
    </row>
    <row r="8" spans="1:7" x14ac:dyDescent="0.25">
      <c r="A8" t="s">
        <v>640</v>
      </c>
      <c r="B8" s="107">
        <v>0.2</v>
      </c>
      <c r="C8" s="7">
        <v>0.2</v>
      </c>
      <c r="D8" s="108">
        <v>0.2</v>
      </c>
      <c r="F8" t="s">
        <v>16</v>
      </c>
      <c r="G8" s="58" t="e">
        <f ca="1">ICC_SIZE(G3,G4,G5,G6,G7)</f>
        <v>#NAME?</v>
      </c>
    </row>
    <row r="9" spans="1:7" x14ac:dyDescent="0.25">
      <c r="A9" t="s">
        <v>641</v>
      </c>
      <c r="B9" s="107">
        <v>0.3</v>
      </c>
      <c r="C9" s="7">
        <v>0.3</v>
      </c>
      <c r="D9" s="108">
        <v>0.3</v>
      </c>
    </row>
    <row r="10" spans="1:7" x14ac:dyDescent="0.25">
      <c r="A10" t="s">
        <v>23</v>
      </c>
      <c r="B10" s="107">
        <f>(1+B4*B8/(1-B8))/(1+B4*B9/(1-B9))</f>
        <v>0.71590909090909094</v>
      </c>
      <c r="C10" s="7">
        <f>(1+C4*C8/(1-C8))/(1+C4*C9/(1-C9))</f>
        <v>0.66216216216216217</v>
      </c>
      <c r="D10" s="108">
        <f>(1+D4*D8/(1-D8))/(1+D4*D9/(1-D9))</f>
        <v>0.62686567164179108</v>
      </c>
    </row>
    <row r="11" spans="1:7" x14ac:dyDescent="0.25">
      <c r="A11" t="s">
        <v>79</v>
      </c>
      <c r="B11" s="107">
        <f>FINV(B7,B5,B6)</f>
        <v>1.4180510679425447</v>
      </c>
      <c r="C11" s="7">
        <f>FINV(C7,C5,C6)</f>
        <v>1.2625626897379845</v>
      </c>
      <c r="D11" s="108">
        <f>FINV(D7,D5,D6)</f>
        <v>1.2532266035881876</v>
      </c>
    </row>
    <row r="12" spans="1:7" x14ac:dyDescent="0.25">
      <c r="A12" t="s">
        <v>553</v>
      </c>
      <c r="B12" s="52">
        <f>FDIST(B10*B11,B5,B6)</f>
        <v>0.45522270324893632</v>
      </c>
      <c r="C12" s="185">
        <f>FDIST(C10*C11,C5,C6)</f>
        <v>0.87006932216253641</v>
      </c>
      <c r="D12" s="56">
        <f>FDIST(D10*D11,D5,D6)</f>
        <v>0.93966710976513512</v>
      </c>
    </row>
    <row r="14" spans="1:7" x14ac:dyDescent="0.25">
      <c r="A14" t="s">
        <v>553</v>
      </c>
      <c r="B14" s="156" t="e">
        <f ca="1">ICC_POWER(B8,B9,B3,B4,B7)</f>
        <v>#NAME?</v>
      </c>
      <c r="C14" s="150" t="e">
        <f ca="1">ICC_POWER(C8,C9,C3,C4,C7)</f>
        <v>#NAME?</v>
      </c>
      <c r="D14" s="157" t="e">
        <f ca="1">ICC_POWER(D8,D9,D3,D4,D7)</f>
        <v>#NAME?</v>
      </c>
    </row>
  </sheetData>
  <pageMargins left="0.7" right="0.7" top="0.75" bottom="0.75" header="0.3" footer="0.3"/>
  <pageSetup paperSize="9" orientation="portrait" verticalDpi="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4"/>
  <dimension ref="A1:AG60"/>
  <sheetViews>
    <sheetView workbookViewId="0"/>
  </sheetViews>
  <sheetFormatPr defaultRowHeight="15" x14ac:dyDescent="0.25"/>
  <cols>
    <col min="1" max="1" width="7.85546875" customWidth="1"/>
    <col min="2" max="6" width="5.85546875" customWidth="1"/>
    <col min="7" max="7" width="18.28515625" customWidth="1"/>
    <col min="13" max="14" width="9.140625" customWidth="1"/>
    <col min="29" max="29" width="4.28515625" customWidth="1"/>
    <col min="30" max="30" width="77" customWidth="1"/>
    <col min="32" max="32" width="10.7109375" customWidth="1"/>
  </cols>
  <sheetData>
    <row r="1" spans="1:33" x14ac:dyDescent="0.25">
      <c r="A1" s="1" t="s">
        <v>529</v>
      </c>
      <c r="P1" t="s">
        <v>556</v>
      </c>
      <c r="AF1" t="s">
        <v>557</v>
      </c>
    </row>
    <row r="3" spans="1:33" x14ac:dyDescent="0.25">
      <c r="B3" s="475" t="s">
        <v>162</v>
      </c>
      <c r="C3" s="475"/>
      <c r="D3" s="475"/>
      <c r="E3" s="475"/>
      <c r="G3" t="s">
        <v>121</v>
      </c>
      <c r="P3" t="s">
        <v>12</v>
      </c>
      <c r="W3" t="s">
        <v>505</v>
      </c>
      <c r="AF3" t="s">
        <v>638</v>
      </c>
    </row>
    <row r="4" spans="1:33" ht="15.75" thickBot="1" x14ac:dyDescent="0.3">
      <c r="A4" s="59" t="s">
        <v>163</v>
      </c>
      <c r="B4" s="38" t="s">
        <v>74</v>
      </c>
      <c r="C4" s="59" t="s">
        <v>65</v>
      </c>
      <c r="D4" s="59" t="s">
        <v>66</v>
      </c>
      <c r="E4" s="59" t="s">
        <v>67</v>
      </c>
    </row>
    <row r="5" spans="1:33" ht="15.75" thickBot="1" x14ac:dyDescent="0.3">
      <c r="A5" s="59">
        <v>1</v>
      </c>
      <c r="B5" s="64">
        <v>1</v>
      </c>
      <c r="C5" s="70">
        <v>2</v>
      </c>
      <c r="D5" s="70">
        <v>0</v>
      </c>
      <c r="E5" s="71">
        <v>1</v>
      </c>
      <c r="G5" s="60" t="s">
        <v>39</v>
      </c>
      <c r="H5" s="60" t="s">
        <v>11</v>
      </c>
      <c r="I5" s="60" t="s">
        <v>10</v>
      </c>
      <c r="J5" s="60" t="s">
        <v>106</v>
      </c>
      <c r="K5" s="60" t="s">
        <v>48</v>
      </c>
      <c r="P5" t="s">
        <v>502</v>
      </c>
      <c r="W5" t="s">
        <v>84</v>
      </c>
      <c r="AA5" s="193" t="s">
        <v>17</v>
      </c>
      <c r="AB5" s="193">
        <v>0.05</v>
      </c>
      <c r="AF5" t="s">
        <v>861</v>
      </c>
      <c r="AG5" s="216">
        <v>2</v>
      </c>
    </row>
    <row r="6" spans="1:33" ht="15.75" thickTop="1" x14ac:dyDescent="0.25">
      <c r="A6" s="59">
        <f>A5+1</f>
        <v>2</v>
      </c>
      <c r="B6" s="45">
        <v>1</v>
      </c>
      <c r="C6" s="33">
        <v>3</v>
      </c>
      <c r="D6" s="33">
        <v>3</v>
      </c>
      <c r="E6" s="72">
        <v>2</v>
      </c>
      <c r="G6" s="16">
        <v>1</v>
      </c>
      <c r="H6" s="16">
        <v>4</v>
      </c>
      <c r="I6" s="16">
        <v>4</v>
      </c>
      <c r="J6" s="16">
        <v>1</v>
      </c>
      <c r="K6" s="16">
        <v>0.66666666666666663</v>
      </c>
      <c r="Q6" s="193" t="str">
        <f>B4</f>
        <v>A</v>
      </c>
      <c r="R6" s="193" t="str">
        <f>C4</f>
        <v>B</v>
      </c>
      <c r="S6" s="193" t="str">
        <f>D4</f>
        <v>C</v>
      </c>
      <c r="T6" s="193" t="str">
        <f>E4</f>
        <v>D</v>
      </c>
      <c r="W6" s="191"/>
      <c r="X6" s="191" t="s">
        <v>76</v>
      </c>
      <c r="Y6" s="191" t="s">
        <v>37</v>
      </c>
      <c r="Z6" s="191" t="s">
        <v>78</v>
      </c>
      <c r="AA6" s="191" t="s">
        <v>68</v>
      </c>
      <c r="AB6" s="191" t="s">
        <v>43</v>
      </c>
      <c r="AC6" s="191" t="s">
        <v>111</v>
      </c>
      <c r="AF6" t="s">
        <v>558</v>
      </c>
      <c r="AG6" s="173">
        <v>1</v>
      </c>
    </row>
    <row r="7" spans="1:33" x14ac:dyDescent="0.25">
      <c r="A7" s="59">
        <f t="shared" ref="A7:A12" si="0">A6+1</f>
        <v>3</v>
      </c>
      <c r="B7" s="25">
        <v>3</v>
      </c>
      <c r="C7" s="33">
        <v>8</v>
      </c>
      <c r="D7" s="33">
        <v>1</v>
      </c>
      <c r="E7" s="72">
        <v>4</v>
      </c>
      <c r="G7" s="16">
        <v>2</v>
      </c>
      <c r="H7" s="16">
        <v>4</v>
      </c>
      <c r="I7" s="16">
        <v>9</v>
      </c>
      <c r="J7" s="16">
        <v>2.25</v>
      </c>
      <c r="K7" s="16">
        <v>0.91666666666666663</v>
      </c>
      <c r="P7">
        <f t="shared" ref="P7:P14" si="1">A5</f>
        <v>1</v>
      </c>
      <c r="Q7" s="186">
        <f t="shared" ref="Q7:Q14" si="2">COUNT(B5)</f>
        <v>1</v>
      </c>
      <c r="R7" s="187">
        <f t="shared" ref="R7:T14" si="3">COUNT(C5)</f>
        <v>1</v>
      </c>
      <c r="S7" s="187">
        <f t="shared" si="3"/>
        <v>1</v>
      </c>
      <c r="T7" s="188">
        <f t="shared" si="3"/>
        <v>1</v>
      </c>
      <c r="U7">
        <f t="shared" ref="U7:U14" si="4">COUNT(B5:E5)</f>
        <v>4</v>
      </c>
      <c r="W7" t="s">
        <v>69</v>
      </c>
      <c r="X7">
        <f>DEVSQ(U19:U26)*U7</f>
        <v>188.21875</v>
      </c>
      <c r="Y7">
        <f>COUNT(U19:U26)-1</f>
        <v>7</v>
      </c>
      <c r="Z7">
        <f>X7/Y7</f>
        <v>26.888392857142858</v>
      </c>
      <c r="AA7">
        <f>Z7/Z9</f>
        <v>11.7866927592955</v>
      </c>
      <c r="AB7">
        <f>FDIST(AA7,Y7,Y9)</f>
        <v>5.0257154640603623E-6</v>
      </c>
      <c r="AC7" s="193" t="str">
        <f>IF(AB7&lt;AB5,"yes","no")</f>
        <v>yes</v>
      </c>
      <c r="AF7" t="s">
        <v>17</v>
      </c>
      <c r="AG7" s="180">
        <v>0.05</v>
      </c>
    </row>
    <row r="8" spans="1:33" x14ac:dyDescent="0.25">
      <c r="A8" s="59">
        <f t="shared" si="0"/>
        <v>4</v>
      </c>
      <c r="B8" s="25">
        <v>6</v>
      </c>
      <c r="C8" s="33">
        <v>4</v>
      </c>
      <c r="D8" s="33">
        <v>3</v>
      </c>
      <c r="E8" s="72">
        <v>3</v>
      </c>
      <c r="G8" s="16">
        <v>3</v>
      </c>
      <c r="H8" s="16">
        <v>4</v>
      </c>
      <c r="I8" s="16">
        <v>16</v>
      </c>
      <c r="J8" s="16">
        <v>4</v>
      </c>
      <c r="K8" s="16">
        <v>8.6666666666666661</v>
      </c>
      <c r="P8">
        <f t="shared" si="1"/>
        <v>2</v>
      </c>
      <c r="Q8" s="76">
        <f t="shared" si="2"/>
        <v>1</v>
      </c>
      <c r="R8" s="7">
        <f t="shared" si="3"/>
        <v>1</v>
      </c>
      <c r="S8" s="7">
        <f t="shared" si="3"/>
        <v>1</v>
      </c>
      <c r="T8" s="35">
        <f t="shared" si="3"/>
        <v>1</v>
      </c>
      <c r="U8">
        <f t="shared" si="4"/>
        <v>4</v>
      </c>
      <c r="W8" t="s">
        <v>123</v>
      </c>
      <c r="X8">
        <f>DEVSQ(Q27:T27)*Q15</f>
        <v>7.34375</v>
      </c>
      <c r="Y8">
        <f>COUNT(Q27:T27)-1</f>
        <v>3</v>
      </c>
      <c r="Z8">
        <f>X8/Y8</f>
        <v>2.4479166666666665</v>
      </c>
      <c r="AA8">
        <f>Z8/Z9</f>
        <v>1.0730593607305936</v>
      </c>
      <c r="AB8">
        <f>FDIST(AA8,Y8,Y9)</f>
        <v>0.3818394427683251</v>
      </c>
      <c r="AC8" s="193" t="str">
        <f>IF(AB8&lt;AB5,"yes","no")</f>
        <v>no</v>
      </c>
    </row>
    <row r="9" spans="1:33" x14ac:dyDescent="0.25">
      <c r="A9" s="59">
        <f t="shared" si="0"/>
        <v>5</v>
      </c>
      <c r="B9" s="25">
        <v>6</v>
      </c>
      <c r="C9" s="33">
        <v>5</v>
      </c>
      <c r="D9" s="33">
        <v>5</v>
      </c>
      <c r="E9" s="72">
        <v>6</v>
      </c>
      <c r="G9" s="16">
        <v>4</v>
      </c>
      <c r="H9" s="16">
        <v>4</v>
      </c>
      <c r="I9" s="16">
        <v>16</v>
      </c>
      <c r="J9" s="16">
        <v>4</v>
      </c>
      <c r="K9" s="16">
        <v>2</v>
      </c>
      <c r="P9">
        <f t="shared" si="1"/>
        <v>3</v>
      </c>
      <c r="Q9" s="76">
        <f t="shared" si="2"/>
        <v>1</v>
      </c>
      <c r="R9" s="7">
        <f t="shared" si="3"/>
        <v>1</v>
      </c>
      <c r="S9" s="7">
        <f t="shared" si="3"/>
        <v>1</v>
      </c>
      <c r="T9" s="35">
        <f t="shared" si="3"/>
        <v>1</v>
      </c>
      <c r="U9">
        <f t="shared" si="4"/>
        <v>4</v>
      </c>
      <c r="W9" t="s">
        <v>122</v>
      </c>
      <c r="X9">
        <f>X11-X7-X8</f>
        <v>47.90625</v>
      </c>
      <c r="Y9">
        <f>Y8*Y7</f>
        <v>21</v>
      </c>
      <c r="Z9">
        <f>X9/Y9</f>
        <v>2.28125</v>
      </c>
      <c r="AF9" t="e">
        <f t="array" aca="1" ref="AF9:AG11" ca="1">ICC(B5:E12,AG5,AG6,TRUE,AG7)</f>
        <v>#NAME?</v>
      </c>
      <c r="AG9" s="216" t="e">
        <f ca="1"/>
        <v>#NAME?</v>
      </c>
    </row>
    <row r="10" spans="1:33" x14ac:dyDescent="0.25">
      <c r="A10" s="59">
        <f t="shared" si="0"/>
        <v>6</v>
      </c>
      <c r="B10" s="25">
        <v>7</v>
      </c>
      <c r="C10" s="33">
        <v>5</v>
      </c>
      <c r="D10" s="33">
        <v>6</v>
      </c>
      <c r="E10" s="72">
        <v>2</v>
      </c>
      <c r="G10" s="16">
        <v>5</v>
      </c>
      <c r="H10" s="16">
        <v>4</v>
      </c>
      <c r="I10" s="16">
        <v>22</v>
      </c>
      <c r="J10" s="16">
        <v>5.5</v>
      </c>
      <c r="K10" s="16">
        <v>0.33333333333333331</v>
      </c>
      <c r="P10">
        <f t="shared" si="1"/>
        <v>4</v>
      </c>
      <c r="Q10" s="76">
        <f t="shared" si="2"/>
        <v>1</v>
      </c>
      <c r="R10" s="7">
        <f t="shared" si="3"/>
        <v>1</v>
      </c>
      <c r="S10" s="7">
        <f t="shared" si="3"/>
        <v>1</v>
      </c>
      <c r="T10" s="35">
        <f t="shared" si="3"/>
        <v>1</v>
      </c>
      <c r="U10">
        <f t="shared" si="4"/>
        <v>4</v>
      </c>
      <c r="AF10" t="e">
        <f ca="1"/>
        <v>#NAME?</v>
      </c>
      <c r="AG10" s="173" t="e">
        <f ca="1"/>
        <v>#NAME?</v>
      </c>
    </row>
    <row r="11" spans="1:33" x14ac:dyDescent="0.25">
      <c r="A11" s="59">
        <f t="shared" si="0"/>
        <v>7</v>
      </c>
      <c r="B11" s="25">
        <v>8</v>
      </c>
      <c r="C11" s="33">
        <v>7</v>
      </c>
      <c r="D11" s="33">
        <v>7</v>
      </c>
      <c r="E11" s="72">
        <v>9</v>
      </c>
      <c r="G11" s="16">
        <v>6</v>
      </c>
      <c r="H11" s="16">
        <v>4</v>
      </c>
      <c r="I11" s="16">
        <v>20</v>
      </c>
      <c r="J11" s="16">
        <v>5</v>
      </c>
      <c r="K11" s="16">
        <v>4.666666666666667</v>
      </c>
      <c r="P11">
        <f t="shared" si="1"/>
        <v>5</v>
      </c>
      <c r="Q11" s="76">
        <f t="shared" si="2"/>
        <v>1</v>
      </c>
      <c r="R11" s="7">
        <f t="shared" si="3"/>
        <v>1</v>
      </c>
      <c r="S11" s="7">
        <f t="shared" si="3"/>
        <v>1</v>
      </c>
      <c r="T11" s="35">
        <f t="shared" si="3"/>
        <v>1</v>
      </c>
      <c r="U11">
        <f t="shared" si="4"/>
        <v>4</v>
      </c>
      <c r="W11" s="185" t="s">
        <v>1</v>
      </c>
      <c r="X11" s="185">
        <f>Z11*Y11</f>
        <v>243.46875</v>
      </c>
      <c r="Y11" s="185">
        <f>U15-1</f>
        <v>31</v>
      </c>
      <c r="Z11" s="185">
        <f>U39</f>
        <v>7.85383064516129</v>
      </c>
      <c r="AA11" s="185"/>
      <c r="AB11" s="185"/>
      <c r="AC11" s="185"/>
      <c r="AF11" t="e">
        <f ca="1"/>
        <v>#NAME?</v>
      </c>
      <c r="AG11" s="180" t="e">
        <f ca="1"/>
        <v>#NAME?</v>
      </c>
    </row>
    <row r="12" spans="1:33" x14ac:dyDescent="0.25">
      <c r="A12" s="59">
        <f t="shared" si="0"/>
        <v>8</v>
      </c>
      <c r="B12" s="62">
        <v>9</v>
      </c>
      <c r="C12" s="65">
        <v>9</v>
      </c>
      <c r="D12" s="65">
        <v>9</v>
      </c>
      <c r="E12" s="54">
        <v>8</v>
      </c>
      <c r="G12" s="16">
        <v>7</v>
      </c>
      <c r="H12" s="16">
        <v>4</v>
      </c>
      <c r="I12" s="16">
        <v>31</v>
      </c>
      <c r="J12" s="16">
        <v>7.75</v>
      </c>
      <c r="K12" s="16">
        <v>0.91666666666666663</v>
      </c>
      <c r="P12">
        <f t="shared" si="1"/>
        <v>6</v>
      </c>
      <c r="Q12" s="76">
        <f t="shared" si="2"/>
        <v>1</v>
      </c>
      <c r="R12" s="7">
        <f t="shared" si="3"/>
        <v>1</v>
      </c>
      <c r="S12" s="7">
        <f t="shared" si="3"/>
        <v>1</v>
      </c>
      <c r="T12" s="35">
        <f t="shared" si="3"/>
        <v>1</v>
      </c>
      <c r="U12">
        <f t="shared" si="4"/>
        <v>4</v>
      </c>
    </row>
    <row r="13" spans="1:33" x14ac:dyDescent="0.25">
      <c r="G13" s="16">
        <v>8</v>
      </c>
      <c r="H13" s="16">
        <v>4</v>
      </c>
      <c r="I13" s="16">
        <v>35</v>
      </c>
      <c r="J13" s="16">
        <v>8.75</v>
      </c>
      <c r="K13" s="16">
        <v>0.25</v>
      </c>
      <c r="P13">
        <f t="shared" si="1"/>
        <v>7</v>
      </c>
      <c r="Q13" s="76">
        <f t="shared" si="2"/>
        <v>1</v>
      </c>
      <c r="R13" s="7">
        <f t="shared" si="3"/>
        <v>1</v>
      </c>
      <c r="S13" s="7">
        <f t="shared" si="3"/>
        <v>1</v>
      </c>
      <c r="T13" s="35">
        <f t="shared" si="3"/>
        <v>1</v>
      </c>
      <c r="U13">
        <f t="shared" si="4"/>
        <v>4</v>
      </c>
      <c r="W13" t="s">
        <v>507</v>
      </c>
      <c r="Y13" s="148">
        <f>(Z7-Z9)/(Z7+Y8*Z9+(Y8+1)*(Z8-Z9)/(Y7+1))</f>
        <v>0.72768878718535457</v>
      </c>
    </row>
    <row r="14" spans="1:33" x14ac:dyDescent="0.25">
      <c r="G14" s="16"/>
      <c r="H14" s="16"/>
      <c r="I14" s="16"/>
      <c r="J14" s="16"/>
      <c r="K14" s="16"/>
      <c r="P14">
        <f t="shared" si="1"/>
        <v>8</v>
      </c>
      <c r="Q14" s="182">
        <f t="shared" si="2"/>
        <v>1</v>
      </c>
      <c r="R14" s="183">
        <f t="shared" si="3"/>
        <v>1</v>
      </c>
      <c r="S14" s="183">
        <f t="shared" si="3"/>
        <v>1</v>
      </c>
      <c r="T14" s="184">
        <f t="shared" si="3"/>
        <v>1</v>
      </c>
      <c r="U14">
        <f t="shared" si="4"/>
        <v>4</v>
      </c>
    </row>
    <row r="15" spans="1:33" x14ac:dyDescent="0.25">
      <c r="G15" s="16" t="s">
        <v>74</v>
      </c>
      <c r="H15" s="16">
        <v>8</v>
      </c>
      <c r="I15" s="16">
        <v>41</v>
      </c>
      <c r="J15" s="16">
        <v>5.125</v>
      </c>
      <c r="K15" s="16">
        <v>9.5535714285714288</v>
      </c>
      <c r="Q15">
        <f>COUNT(B5:B12)</f>
        <v>8</v>
      </c>
      <c r="R15">
        <f>COUNT(C5:C12)</f>
        <v>8</v>
      </c>
      <c r="S15">
        <f>COUNT(D5:D12)</f>
        <v>8</v>
      </c>
      <c r="T15">
        <f>COUNT(E5:E12)</f>
        <v>8</v>
      </c>
      <c r="U15">
        <f>COUNT(B5:E12)</f>
        <v>32</v>
      </c>
      <c r="AA15" t="s">
        <v>58</v>
      </c>
      <c r="AB15" s="194">
        <v>0.05</v>
      </c>
    </row>
    <row r="16" spans="1:33" x14ac:dyDescent="0.25">
      <c r="G16" s="16" t="s">
        <v>65</v>
      </c>
      <c r="H16" s="16">
        <v>8</v>
      </c>
      <c r="I16" s="16">
        <v>43</v>
      </c>
      <c r="J16" s="16">
        <v>5.375</v>
      </c>
      <c r="K16" s="16">
        <v>5.9821428571428568</v>
      </c>
      <c r="W16" t="s">
        <v>510</v>
      </c>
      <c r="Y16" s="194">
        <f>Z7-Z9</f>
        <v>24.607142857142858</v>
      </c>
      <c r="AA16" s="34" t="s">
        <v>16</v>
      </c>
      <c r="AB16" s="78">
        <f>Y7+1</f>
        <v>8</v>
      </c>
      <c r="AD16" s="14" t="e">
        <f ca="1">FTEXT(AB16)</f>
        <v>#NAME?</v>
      </c>
    </row>
    <row r="17" spans="7:30" x14ac:dyDescent="0.25">
      <c r="G17" s="16" t="s">
        <v>66</v>
      </c>
      <c r="H17" s="16">
        <v>8</v>
      </c>
      <c r="I17" s="16">
        <v>34</v>
      </c>
      <c r="J17" s="16">
        <v>4.25</v>
      </c>
      <c r="K17" s="16">
        <v>9.3571428571428577</v>
      </c>
      <c r="P17" t="s">
        <v>125</v>
      </c>
      <c r="W17" t="s">
        <v>511</v>
      </c>
      <c r="Y17" s="78">
        <f>(Y8+1)*Z9</f>
        <v>9.125</v>
      </c>
      <c r="AA17" s="34" t="s">
        <v>34</v>
      </c>
      <c r="AB17" s="78">
        <f>Y8+1</f>
        <v>4</v>
      </c>
      <c r="AD17" s="14" t="e">
        <f ca="1">FTEXT(AB17)</f>
        <v>#NAME?</v>
      </c>
    </row>
    <row r="18" spans="7:30" ht="15.75" thickBot="1" x14ac:dyDescent="0.3">
      <c r="G18" s="17" t="s">
        <v>67</v>
      </c>
      <c r="H18" s="17">
        <v>8</v>
      </c>
      <c r="I18" s="17">
        <v>35</v>
      </c>
      <c r="J18" s="17">
        <v>4.375</v>
      </c>
      <c r="K18" s="17">
        <v>8.8392857142857135</v>
      </c>
      <c r="Q18" s="193" t="str">
        <f>B4</f>
        <v>A</v>
      </c>
      <c r="R18" s="193" t="str">
        <f>C4</f>
        <v>B</v>
      </c>
      <c r="S18" s="193" t="str">
        <f>D4</f>
        <v>C</v>
      </c>
      <c r="T18" s="193" t="str">
        <f>E4</f>
        <v>D</v>
      </c>
      <c r="W18" t="s">
        <v>512</v>
      </c>
      <c r="Y18" s="78">
        <f>(Y8+1)*(Z8-Z9)/(Y7+1)</f>
        <v>8.3333333333333259E-2</v>
      </c>
      <c r="AA18" t="s">
        <v>485</v>
      </c>
      <c r="AB18" s="78">
        <f>AB16*(1+(AB17-1)*Y13)-AB17*Y13</f>
        <v>22.553775743707089</v>
      </c>
      <c r="AD18" s="14" t="e">
        <f ca="1">FTEXT(AB18)</f>
        <v>#NAME?</v>
      </c>
    </row>
    <row r="19" spans="7:30" x14ac:dyDescent="0.25">
      <c r="P19">
        <f t="shared" ref="P19:P26" si="5">A5</f>
        <v>1</v>
      </c>
      <c r="Q19" s="186">
        <f t="shared" ref="Q19:Q26" si="6">AVERAGE(B5)</f>
        <v>1</v>
      </c>
      <c r="R19" s="187">
        <f t="shared" ref="R19:T26" si="7">AVERAGE(C5)</f>
        <v>2</v>
      </c>
      <c r="S19" s="187">
        <f t="shared" si="7"/>
        <v>0</v>
      </c>
      <c r="T19" s="188">
        <f t="shared" si="7"/>
        <v>1</v>
      </c>
      <c r="U19">
        <f t="shared" ref="U19:U26" si="8">AVERAGE(B5:E5)</f>
        <v>1</v>
      </c>
      <c r="W19" t="s">
        <v>509</v>
      </c>
      <c r="Y19" s="78">
        <f>SUM(Y16:Y18)</f>
        <v>33.815476190476197</v>
      </c>
      <c r="AA19" t="s">
        <v>513</v>
      </c>
      <c r="AB19" s="78">
        <f>AA8</f>
        <v>1.0730593607305936</v>
      </c>
      <c r="AD19" s="14" t="e">
        <f ca="1">FTEXT(AB19)</f>
        <v>#NAME?</v>
      </c>
    </row>
    <row r="20" spans="7:30" x14ac:dyDescent="0.25">
      <c r="P20">
        <f t="shared" si="5"/>
        <v>2</v>
      </c>
      <c r="Q20" s="76">
        <f t="shared" si="6"/>
        <v>1</v>
      </c>
      <c r="R20" s="7">
        <f t="shared" si="7"/>
        <v>3</v>
      </c>
      <c r="S20" s="7">
        <f t="shared" si="7"/>
        <v>3</v>
      </c>
      <c r="T20" s="35">
        <f t="shared" si="7"/>
        <v>2</v>
      </c>
      <c r="U20">
        <f t="shared" si="8"/>
        <v>2.25</v>
      </c>
      <c r="W20" t="s">
        <v>507</v>
      </c>
      <c r="Y20" s="58">
        <f>Y16/Y19</f>
        <v>0.72768878718535457</v>
      </c>
      <c r="AA20" t="s">
        <v>514</v>
      </c>
      <c r="AB20" s="78">
        <f>AB17*Z8+(AB16*AB17-AB17-AB16)*Z9</f>
        <v>55.416666666666664</v>
      </c>
      <c r="AD20" s="14" t="e">
        <f ca="1">FTEXT(AB20)</f>
        <v>#NAME?</v>
      </c>
    </row>
    <row r="21" spans="7:30" ht="15.75" thickBot="1" x14ac:dyDescent="0.3">
      <c r="G21" t="s">
        <v>84</v>
      </c>
      <c r="P21">
        <f t="shared" si="5"/>
        <v>3</v>
      </c>
      <c r="Q21" s="76">
        <f t="shared" si="6"/>
        <v>3</v>
      </c>
      <c r="R21" s="7">
        <f t="shared" si="7"/>
        <v>8</v>
      </c>
      <c r="S21" s="7">
        <f t="shared" si="7"/>
        <v>1</v>
      </c>
      <c r="T21" s="35">
        <f t="shared" si="7"/>
        <v>4</v>
      </c>
      <c r="U21">
        <f t="shared" si="8"/>
        <v>4</v>
      </c>
      <c r="AA21" t="s">
        <v>24</v>
      </c>
      <c r="AB21" s="78">
        <f>(AB17-1)*(AB16-1)*(AB17*Y13*AB19+AB18)^2/((AB16-1)*(AB17*Y13*AB19)^2+AB18^2)</f>
        <v>23.997525280220316</v>
      </c>
      <c r="AD21" s="14" t="e">
        <f ca="1">FTEXT(AB21)</f>
        <v>#NAME?</v>
      </c>
    </row>
    <row r="22" spans="7:30" x14ac:dyDescent="0.25">
      <c r="G22" s="60" t="s">
        <v>107</v>
      </c>
      <c r="H22" s="60" t="s">
        <v>76</v>
      </c>
      <c r="I22" s="60" t="s">
        <v>37</v>
      </c>
      <c r="J22" s="60" t="s">
        <v>78</v>
      </c>
      <c r="K22" s="60" t="s">
        <v>68</v>
      </c>
      <c r="L22" s="60" t="s">
        <v>62</v>
      </c>
      <c r="M22" s="60" t="s">
        <v>108</v>
      </c>
      <c r="P22">
        <f t="shared" si="5"/>
        <v>4</v>
      </c>
      <c r="Q22" s="76">
        <f t="shared" si="6"/>
        <v>6</v>
      </c>
      <c r="R22" s="7">
        <f t="shared" si="7"/>
        <v>4</v>
      </c>
      <c r="S22" s="7">
        <f t="shared" si="7"/>
        <v>3</v>
      </c>
      <c r="T22" s="35">
        <f t="shared" si="7"/>
        <v>3</v>
      </c>
      <c r="U22">
        <f t="shared" si="8"/>
        <v>4</v>
      </c>
      <c r="AA22" t="s">
        <v>517</v>
      </c>
      <c r="AB22" s="78">
        <f>MAX(1,ROUND(AB21,0))</f>
        <v>24</v>
      </c>
      <c r="AD22" s="14" t="e">
        <f ca="1">FTEXT(AB22)</f>
        <v>#NAME?</v>
      </c>
    </row>
    <row r="23" spans="7:30" x14ac:dyDescent="0.25">
      <c r="G23" s="16" t="s">
        <v>69</v>
      </c>
      <c r="H23" s="16">
        <v>188.21875</v>
      </c>
      <c r="I23" s="16">
        <v>7</v>
      </c>
      <c r="J23" s="16">
        <v>26.888392857142858</v>
      </c>
      <c r="K23" s="16">
        <v>11.7866927592955</v>
      </c>
      <c r="L23" s="16">
        <v>5.0257154640603623E-6</v>
      </c>
      <c r="M23" s="16">
        <v>2.487577703722041</v>
      </c>
      <c r="P23">
        <f t="shared" si="5"/>
        <v>5</v>
      </c>
      <c r="Q23" s="76">
        <f t="shared" si="6"/>
        <v>6</v>
      </c>
      <c r="R23" s="7">
        <f t="shared" si="7"/>
        <v>5</v>
      </c>
      <c r="S23" s="7">
        <f t="shared" si="7"/>
        <v>5</v>
      </c>
      <c r="T23" s="35">
        <f t="shared" si="7"/>
        <v>6</v>
      </c>
      <c r="U23">
        <f t="shared" si="8"/>
        <v>5.5</v>
      </c>
      <c r="AA23" t="s">
        <v>515</v>
      </c>
      <c r="AB23" s="78">
        <f>FINV(AB15/2,AB16-1,AB22)</f>
        <v>2.8738081880378892</v>
      </c>
      <c r="AD23" s="14" t="e">
        <f ca="1">FTEXT(AB23)</f>
        <v>#NAME?</v>
      </c>
    </row>
    <row r="24" spans="7:30" x14ac:dyDescent="0.25">
      <c r="G24" s="16" t="s">
        <v>123</v>
      </c>
      <c r="H24" s="16">
        <v>7.34375</v>
      </c>
      <c r="I24" s="16">
        <v>3</v>
      </c>
      <c r="J24" s="16">
        <v>2.4479166666666665</v>
      </c>
      <c r="K24" s="16">
        <v>1.0730593607305936</v>
      </c>
      <c r="L24" s="16">
        <v>0.3818394427683251</v>
      </c>
      <c r="M24" s="16">
        <v>3.0724669863968779</v>
      </c>
      <c r="P24">
        <f t="shared" si="5"/>
        <v>6</v>
      </c>
      <c r="Q24" s="76">
        <f t="shared" si="6"/>
        <v>7</v>
      </c>
      <c r="R24" s="7">
        <f t="shared" si="7"/>
        <v>5</v>
      </c>
      <c r="S24" s="7">
        <f t="shared" si="7"/>
        <v>6</v>
      </c>
      <c r="T24" s="35">
        <f t="shared" si="7"/>
        <v>2</v>
      </c>
      <c r="U24">
        <f t="shared" si="8"/>
        <v>5</v>
      </c>
      <c r="AA24" t="s">
        <v>516</v>
      </c>
      <c r="AB24" s="58">
        <f>FINV(AB15/2,AB22,AB16-1)</f>
        <v>4.4149990650854747</v>
      </c>
      <c r="AD24" s="14" t="e">
        <f ca="1">FTEXT(AB24)</f>
        <v>#NAME?</v>
      </c>
    </row>
    <row r="25" spans="7:30" x14ac:dyDescent="0.25">
      <c r="G25" s="16" t="s">
        <v>122</v>
      </c>
      <c r="H25" s="16">
        <v>47.90625</v>
      </c>
      <c r="I25" s="16">
        <v>21</v>
      </c>
      <c r="J25" s="16">
        <v>2.28125</v>
      </c>
      <c r="K25" s="16"/>
      <c r="L25" s="16"/>
      <c r="M25" s="16"/>
      <c r="P25">
        <f t="shared" si="5"/>
        <v>7</v>
      </c>
      <c r="Q25" s="76">
        <f t="shared" si="6"/>
        <v>8</v>
      </c>
      <c r="R25" s="7">
        <f t="shared" si="7"/>
        <v>7</v>
      </c>
      <c r="S25" s="7">
        <f t="shared" si="7"/>
        <v>7</v>
      </c>
      <c r="T25" s="35">
        <f t="shared" si="7"/>
        <v>9</v>
      </c>
      <c r="U25">
        <f t="shared" si="8"/>
        <v>7.75</v>
      </c>
      <c r="AD25" s="14"/>
    </row>
    <row r="26" spans="7:30" x14ac:dyDescent="0.25">
      <c r="G26" s="16"/>
      <c r="H26" s="16"/>
      <c r="I26" s="16"/>
      <c r="J26" s="16"/>
      <c r="K26" s="16"/>
      <c r="L26" s="16"/>
      <c r="M26" s="16"/>
      <c r="P26">
        <f t="shared" si="5"/>
        <v>8</v>
      </c>
      <c r="Q26" s="182">
        <f t="shared" si="6"/>
        <v>9</v>
      </c>
      <c r="R26" s="183">
        <f t="shared" si="7"/>
        <v>9</v>
      </c>
      <c r="S26" s="183">
        <f t="shared" si="7"/>
        <v>9</v>
      </c>
      <c r="T26" s="184">
        <f t="shared" si="7"/>
        <v>8</v>
      </c>
      <c r="U26">
        <f t="shared" si="8"/>
        <v>8.75</v>
      </c>
      <c r="AA26" t="s">
        <v>14</v>
      </c>
      <c r="AB26" s="194">
        <f>AB16*(Z7-AB23*Z9)/(AB23*AB20+AB16*Z7)</f>
        <v>0.43449727446116848</v>
      </c>
      <c r="AD26" s="14" t="e">
        <f ca="1">FTEXT(AB26)</f>
        <v>#NAME?</v>
      </c>
    </row>
    <row r="27" spans="7:30" ht="15.75" thickBot="1" x14ac:dyDescent="0.3">
      <c r="G27" s="17" t="s">
        <v>1</v>
      </c>
      <c r="H27" s="17">
        <v>243.46875</v>
      </c>
      <c r="I27" s="17">
        <v>31</v>
      </c>
      <c r="J27" s="17"/>
      <c r="K27" s="17"/>
      <c r="L27" s="17"/>
      <c r="M27" s="17"/>
      <c r="Q27">
        <f>AVERAGE(B5:B12)</f>
        <v>5.125</v>
      </c>
      <c r="R27">
        <f>AVERAGE(C5:C12)</f>
        <v>5.375</v>
      </c>
      <c r="S27">
        <f>AVERAGE(D5:D12)</f>
        <v>4.25</v>
      </c>
      <c r="T27">
        <f>AVERAGE(E5:E12)</f>
        <v>4.375</v>
      </c>
      <c r="U27">
        <f>AVERAGE(B5:E12)</f>
        <v>4.78125</v>
      </c>
      <c r="AA27" t="s">
        <v>15</v>
      </c>
      <c r="AB27" s="58">
        <f>AB16*(AB24*Z7-Z9)/(AB20+AB16*AB24*Z7)</f>
        <v>0.92670818441751546</v>
      </c>
      <c r="AD27" s="14" t="e">
        <f ca="1">FTEXT(AB27)</f>
        <v>#NAME?</v>
      </c>
    </row>
    <row r="28" spans="7:30" x14ac:dyDescent="0.25">
      <c r="AD28" s="14"/>
    </row>
    <row r="29" spans="7:30" x14ac:dyDescent="0.25">
      <c r="G29" t="s">
        <v>499</v>
      </c>
      <c r="I29" s="148">
        <f>(J23-J25)/(J23+I24*J25+(I24+1)*(J24-J25)/(I23+1))</f>
        <v>0.72768878718535457</v>
      </c>
      <c r="P29" t="s">
        <v>503</v>
      </c>
      <c r="AA29" t="s">
        <v>535</v>
      </c>
      <c r="AB29" s="200">
        <f>(Z7-Z9)/(Z7+(Z8-Z9)/(Y7+1))</f>
        <v>0.91445003594536312</v>
      </c>
      <c r="AD29" s="14" t="e">
        <f ca="1">FTEXT(AB29)</f>
        <v>#NAME?</v>
      </c>
    </row>
    <row r="30" spans="7:30" x14ac:dyDescent="0.25">
      <c r="Q30" s="193" t="str">
        <f>B4</f>
        <v>A</v>
      </c>
      <c r="R30" s="193" t="str">
        <f>C4</f>
        <v>B</v>
      </c>
      <c r="S30" s="193" t="str">
        <f>D4</f>
        <v>C</v>
      </c>
      <c r="T30" s="193" t="str">
        <f>E4</f>
        <v>D</v>
      </c>
      <c r="AA30" t="s">
        <v>14</v>
      </c>
      <c r="AB30" s="78">
        <f>AB17*AB26/(1+Y8*AB26)</f>
        <v>0.75450196098018374</v>
      </c>
      <c r="AD30" s="14" t="e">
        <f ca="1">FTEXT(AB30)</f>
        <v>#NAME?</v>
      </c>
    </row>
    <row r="31" spans="7:30" x14ac:dyDescent="0.25">
      <c r="G31" t="s">
        <v>554</v>
      </c>
      <c r="I31" s="148" t="e">
        <f ca="1">ICC(B5:E12)</f>
        <v>#NAME?</v>
      </c>
      <c r="K31" t="s">
        <v>58</v>
      </c>
      <c r="L31" s="194">
        <v>0.05</v>
      </c>
      <c r="P31">
        <f t="shared" ref="P31:P38" si="9">A5</f>
        <v>1</v>
      </c>
      <c r="Q31" s="186" t="e">
        <f t="shared" ref="Q31:Q38" si="10">VAR(B5)</f>
        <v>#DIV/0!</v>
      </c>
      <c r="R31" s="187" t="e">
        <f t="shared" ref="R31:T38" si="11">VAR(C5)</f>
        <v>#DIV/0!</v>
      </c>
      <c r="S31" s="187" t="e">
        <f t="shared" si="11"/>
        <v>#DIV/0!</v>
      </c>
      <c r="T31" s="188" t="e">
        <f t="shared" si="11"/>
        <v>#DIV/0!</v>
      </c>
      <c r="U31">
        <f t="shared" ref="U31:U38" si="12">VAR(B5:E5)</f>
        <v>0.66666666666666663</v>
      </c>
      <c r="AA31" t="s">
        <v>15</v>
      </c>
      <c r="AB31" s="58">
        <f>AB17*AB27/(1+Y8*AB27)</f>
        <v>0.98061126966850298</v>
      </c>
      <c r="AD31" s="14" t="e">
        <f ca="1">FTEXT(AB31)</f>
        <v>#NAME?</v>
      </c>
    </row>
    <row r="32" spans="7:30" x14ac:dyDescent="0.25">
      <c r="K32" s="34" t="s">
        <v>16</v>
      </c>
      <c r="L32" s="78">
        <f>I23+1</f>
        <v>8</v>
      </c>
      <c r="N32" t="e">
        <f ca="1">FTEXT(L32)</f>
        <v>#NAME?</v>
      </c>
      <c r="P32">
        <f t="shared" si="9"/>
        <v>2</v>
      </c>
      <c r="Q32" s="76" t="e">
        <f t="shared" si="10"/>
        <v>#DIV/0!</v>
      </c>
      <c r="R32" s="7" t="e">
        <f t="shared" si="11"/>
        <v>#DIV/0!</v>
      </c>
      <c r="S32" s="7" t="e">
        <f t="shared" si="11"/>
        <v>#DIV/0!</v>
      </c>
      <c r="T32" s="35" t="e">
        <f t="shared" si="11"/>
        <v>#DIV/0!</v>
      </c>
      <c r="U32">
        <f t="shared" si="12"/>
        <v>0.91666666666666663</v>
      </c>
    </row>
    <row r="33" spans="11:30" x14ac:dyDescent="0.25">
      <c r="K33" s="34" t="s">
        <v>34</v>
      </c>
      <c r="L33" s="78">
        <f>I24+1</f>
        <v>4</v>
      </c>
      <c r="N33" t="e">
        <f ca="1">FTEXT(L33)</f>
        <v>#NAME?</v>
      </c>
      <c r="P33">
        <f t="shared" si="9"/>
        <v>3</v>
      </c>
      <c r="Q33" s="76" t="e">
        <f t="shared" si="10"/>
        <v>#DIV/0!</v>
      </c>
      <c r="R33" s="7" t="e">
        <f t="shared" si="11"/>
        <v>#DIV/0!</v>
      </c>
      <c r="S33" s="7" t="e">
        <f t="shared" si="11"/>
        <v>#DIV/0!</v>
      </c>
      <c r="T33" s="35" t="e">
        <f t="shared" si="11"/>
        <v>#DIV/0!</v>
      </c>
      <c r="U33">
        <f t="shared" si="12"/>
        <v>8.6666666666666661</v>
      </c>
      <c r="AA33" t="s">
        <v>552</v>
      </c>
    </row>
    <row r="34" spans="11:30" x14ac:dyDescent="0.25">
      <c r="K34" t="s">
        <v>485</v>
      </c>
      <c r="L34" s="78">
        <f>L32*(1+(L33-1)*I29)-L33*I29</f>
        <v>22.553775743707089</v>
      </c>
      <c r="N34" t="e">
        <f ca="1">FTEXT(L34)</f>
        <v>#NAME?</v>
      </c>
      <c r="P34">
        <f t="shared" si="9"/>
        <v>4</v>
      </c>
      <c r="Q34" s="76" t="e">
        <f t="shared" si="10"/>
        <v>#DIV/0!</v>
      </c>
      <c r="R34" s="7" t="e">
        <f t="shared" si="11"/>
        <v>#DIV/0!</v>
      </c>
      <c r="S34" s="7" t="e">
        <f t="shared" si="11"/>
        <v>#DIV/0!</v>
      </c>
      <c r="T34" s="35" t="e">
        <f t="shared" si="11"/>
        <v>#DIV/0!</v>
      </c>
      <c r="U34">
        <f t="shared" si="12"/>
        <v>2</v>
      </c>
    </row>
    <row r="35" spans="11:30" x14ac:dyDescent="0.25">
      <c r="K35" t="s">
        <v>513</v>
      </c>
      <c r="L35" s="78">
        <f>K24</f>
        <v>1.0730593607305936</v>
      </c>
      <c r="N35" t="e">
        <f ca="1">FTEXT(L35)</f>
        <v>#NAME?</v>
      </c>
      <c r="P35">
        <f t="shared" si="9"/>
        <v>5</v>
      </c>
      <c r="Q35" s="76" t="e">
        <f t="shared" si="10"/>
        <v>#DIV/0!</v>
      </c>
      <c r="R35" s="7" t="e">
        <f t="shared" si="11"/>
        <v>#DIV/0!</v>
      </c>
      <c r="S35" s="7" t="e">
        <f t="shared" si="11"/>
        <v>#DIV/0!</v>
      </c>
      <c r="T35" s="35" t="e">
        <f t="shared" si="11"/>
        <v>#DIV/0!</v>
      </c>
      <c r="U35">
        <f t="shared" si="12"/>
        <v>0.33333333333333331</v>
      </c>
      <c r="AA35" t="s">
        <v>545</v>
      </c>
      <c r="AB35" s="200" t="e">
        <f ca="1">ICC(B5:E12,2,1)</f>
        <v>#NAME?</v>
      </c>
      <c r="AD35" s="14" t="s">
        <v>546</v>
      </c>
    </row>
    <row r="36" spans="11:30" x14ac:dyDescent="0.25">
      <c r="K36" t="s">
        <v>514</v>
      </c>
      <c r="L36" s="78">
        <f>L33*J24+(L32*L33-L33-L32)*J25</f>
        <v>55.416666666666664</v>
      </c>
      <c r="N36" t="e">
        <f ca="1">FTEXT(L36)</f>
        <v>#NAME?</v>
      </c>
      <c r="P36">
        <f t="shared" si="9"/>
        <v>6</v>
      </c>
      <c r="Q36" s="76" t="e">
        <f t="shared" si="10"/>
        <v>#DIV/0!</v>
      </c>
      <c r="R36" s="7" t="e">
        <f t="shared" si="11"/>
        <v>#DIV/0!</v>
      </c>
      <c r="S36" s="7" t="e">
        <f t="shared" si="11"/>
        <v>#DIV/0!</v>
      </c>
      <c r="T36" s="35" t="e">
        <f t="shared" si="11"/>
        <v>#DIV/0!</v>
      </c>
      <c r="U36">
        <f t="shared" si="12"/>
        <v>4.666666666666667</v>
      </c>
      <c r="AA36" t="s">
        <v>535</v>
      </c>
      <c r="AB36" s="58" t="e">
        <f ca="1">ICC(B5:E12,2,4)</f>
        <v>#NAME?</v>
      </c>
      <c r="AD36" s="14" t="s">
        <v>547</v>
      </c>
    </row>
    <row r="37" spans="11:30" x14ac:dyDescent="0.25">
      <c r="K37" t="s">
        <v>24</v>
      </c>
      <c r="L37" s="78">
        <f>(L33-1)*(L32-1)*(L33*I29*L35+L34)^2/((L32-1)*(L33*I29*L35)^2+L34^2)</f>
        <v>23.997525280220316</v>
      </c>
      <c r="N37" t="e">
        <f ca="1">FTEXT(L37)</f>
        <v>#NAME?</v>
      </c>
      <c r="P37">
        <f t="shared" si="9"/>
        <v>7</v>
      </c>
      <c r="Q37" s="76" t="e">
        <f t="shared" si="10"/>
        <v>#DIV/0!</v>
      </c>
      <c r="R37" s="7" t="e">
        <f t="shared" si="11"/>
        <v>#DIV/0!</v>
      </c>
      <c r="S37" s="7" t="e">
        <f t="shared" si="11"/>
        <v>#DIV/0!</v>
      </c>
      <c r="T37" s="35" t="e">
        <f t="shared" si="11"/>
        <v>#DIV/0!</v>
      </c>
      <c r="U37">
        <f t="shared" si="12"/>
        <v>0.91666666666666663</v>
      </c>
    </row>
    <row r="38" spans="11:30" x14ac:dyDescent="0.25">
      <c r="K38" t="s">
        <v>517</v>
      </c>
      <c r="L38" s="78">
        <f>MAX(1,ROUND(L37,0))</f>
        <v>24</v>
      </c>
      <c r="N38" t="e">
        <f ca="1">FTEXT(L38)</f>
        <v>#NAME?</v>
      </c>
      <c r="P38">
        <f t="shared" si="9"/>
        <v>8</v>
      </c>
      <c r="Q38" s="182" t="e">
        <f t="shared" si="10"/>
        <v>#DIV/0!</v>
      </c>
      <c r="R38" s="183" t="e">
        <f t="shared" si="11"/>
        <v>#DIV/0!</v>
      </c>
      <c r="S38" s="183" t="e">
        <f t="shared" si="11"/>
        <v>#DIV/0!</v>
      </c>
      <c r="T38" s="184" t="e">
        <f t="shared" si="11"/>
        <v>#DIV/0!</v>
      </c>
      <c r="U38">
        <f t="shared" si="12"/>
        <v>0.25</v>
      </c>
      <c r="AA38" t="e">
        <f t="array" aca="1" ref="AA38:AB40" ca="1">ICC(B5:E12,2,1,TRUE)</f>
        <v>#NAME?</v>
      </c>
      <c r="AB38" s="206" t="e">
        <f ca="1"/>
        <v>#NAME?</v>
      </c>
      <c r="AD38" t="e">
        <f ca="1">FTEXT(AB38)</f>
        <v>#NAME?</v>
      </c>
    </row>
    <row r="39" spans="11:30" x14ac:dyDescent="0.25">
      <c r="K39" t="s">
        <v>515</v>
      </c>
      <c r="L39" s="78">
        <f>FINV(L31/2,L32-1,L38)</f>
        <v>2.8738081880378892</v>
      </c>
      <c r="N39" t="e">
        <f ca="1">FTEXT(L39)</f>
        <v>#NAME?</v>
      </c>
      <c r="Q39">
        <f>VAR(B5:B12)</f>
        <v>9.5535714285714288</v>
      </c>
      <c r="R39">
        <f>VAR(C5:C12)</f>
        <v>5.9821428571428568</v>
      </c>
      <c r="S39">
        <f>VAR(D5:D12)</f>
        <v>9.3571428571428577</v>
      </c>
      <c r="T39">
        <f>VAR(E5:E12)</f>
        <v>8.8392857142857135</v>
      </c>
      <c r="U39">
        <f>VAR(B5:E12)</f>
        <v>7.85383064516129</v>
      </c>
      <c r="AA39" t="e">
        <f ca="1"/>
        <v>#NAME?</v>
      </c>
      <c r="AB39" s="78" t="e">
        <f ca="1"/>
        <v>#NAME?</v>
      </c>
    </row>
    <row r="40" spans="11:30" x14ac:dyDescent="0.25">
      <c r="K40" t="s">
        <v>516</v>
      </c>
      <c r="L40" s="58">
        <f>FINV(L31/2,L38,L32-1)</f>
        <v>4.4149990650854747</v>
      </c>
      <c r="N40" t="e">
        <f ca="1">FTEXT(L40)</f>
        <v>#NAME?</v>
      </c>
      <c r="AA40" t="e">
        <f ca="1"/>
        <v>#NAME?</v>
      </c>
      <c r="AB40" s="58" t="e">
        <f ca="1"/>
        <v>#NAME?</v>
      </c>
    </row>
    <row r="41" spans="11:30" x14ac:dyDescent="0.25">
      <c r="N41" t="e">
        <f ca="1">FTEXT(L41)</f>
        <v>#NAME?</v>
      </c>
    </row>
    <row r="42" spans="11:30" x14ac:dyDescent="0.25">
      <c r="K42" t="s">
        <v>14</v>
      </c>
      <c r="L42" s="194">
        <f>L32*(J23-L39*J25)/(L39*L36+L32*J23)</f>
        <v>0.43449727446116848</v>
      </c>
      <c r="N42" t="e">
        <f ca="1">FTEXT(L42)</f>
        <v>#NAME?</v>
      </c>
      <c r="AA42" t="e">
        <f t="array" aca="1" ref="AA42:AB44" ca="1">ICC(B5:E12,2,4,TRUE)</f>
        <v>#NAME?</v>
      </c>
      <c r="AB42" s="206" t="e">
        <f ca="1"/>
        <v>#NAME?</v>
      </c>
      <c r="AD42" t="e">
        <f ca="1">FTEXT(AB42)</f>
        <v>#NAME?</v>
      </c>
    </row>
    <row r="43" spans="11:30" x14ac:dyDescent="0.25">
      <c r="K43" t="s">
        <v>15</v>
      </c>
      <c r="L43" s="58">
        <f>L32*(L40*J23-J25)/(L36+L32*L40*J23)</f>
        <v>0.92670818441751546</v>
      </c>
      <c r="N43" t="e">
        <f ca="1">FTEXT(L43)</f>
        <v>#NAME?</v>
      </c>
      <c r="AA43" t="e">
        <f ca="1"/>
        <v>#NAME?</v>
      </c>
      <c r="AB43" s="78" t="e">
        <f ca="1"/>
        <v>#NAME?</v>
      </c>
    </row>
    <row r="44" spans="11:30" x14ac:dyDescent="0.25">
      <c r="AA44" t="e">
        <f ca="1"/>
        <v>#NAME?</v>
      </c>
      <c r="AB44" s="58" t="e">
        <f ca="1"/>
        <v>#NAME?</v>
      </c>
    </row>
    <row r="49" spans="30:30" x14ac:dyDescent="0.25">
      <c r="AD49" s="14" t="e">
        <f ca="1">FTEXT(AB49)</f>
        <v>#NAME?</v>
      </c>
    </row>
    <row r="50" spans="30:30" x14ac:dyDescent="0.25">
      <c r="AD50" s="14" t="e">
        <f ca="1">FTEXT(AB50)</f>
        <v>#NAME?</v>
      </c>
    </row>
    <row r="51" spans="30:30" x14ac:dyDescent="0.25">
      <c r="AD51" s="14" t="e">
        <f ca="1">FTEXT(AB51)</f>
        <v>#NAME?</v>
      </c>
    </row>
    <row r="52" spans="30:30" x14ac:dyDescent="0.25">
      <c r="AD52" s="14" t="e">
        <f ca="1">FTEXT(AB52)</f>
        <v>#NAME?</v>
      </c>
    </row>
    <row r="53" spans="30:30" x14ac:dyDescent="0.25">
      <c r="AD53" s="14" t="e">
        <f ca="1">FTEXT(AB53)</f>
        <v>#NAME?</v>
      </c>
    </row>
    <row r="54" spans="30:30" x14ac:dyDescent="0.25">
      <c r="AD54" s="14" t="e">
        <f ca="1">FTEXT(AB54)</f>
        <v>#NAME?</v>
      </c>
    </row>
    <row r="55" spans="30:30" x14ac:dyDescent="0.25">
      <c r="AD55" s="14" t="e">
        <f ca="1">FTEXT(AB55)</f>
        <v>#NAME?</v>
      </c>
    </row>
    <row r="56" spans="30:30" x14ac:dyDescent="0.25">
      <c r="AD56" s="14" t="e">
        <f ca="1">FTEXT(AB56)</f>
        <v>#NAME?</v>
      </c>
    </row>
    <row r="57" spans="30:30" x14ac:dyDescent="0.25">
      <c r="AD57" s="14" t="e">
        <f ca="1">FTEXT(AB57)</f>
        <v>#NAME?</v>
      </c>
    </row>
    <row r="58" spans="30:30" x14ac:dyDescent="0.25">
      <c r="AD58" s="14"/>
    </row>
    <row r="59" spans="30:30" x14ac:dyDescent="0.25">
      <c r="AD59" s="14" t="e">
        <f ca="1">FTEXT(AB59)</f>
        <v>#NAME?</v>
      </c>
    </row>
    <row r="60" spans="30:30" x14ac:dyDescent="0.25">
      <c r="AD60" s="14" t="e">
        <f ca="1">FTEXT(AB60)</f>
        <v>#NAME?</v>
      </c>
    </row>
  </sheetData>
  <mergeCells count="1">
    <mergeCell ref="B3:E3"/>
  </mergeCells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3"/>
  <dimension ref="A1:AD58"/>
  <sheetViews>
    <sheetView workbookViewId="0"/>
  </sheetViews>
  <sheetFormatPr defaultRowHeight="15" x14ac:dyDescent="0.25"/>
  <cols>
    <col min="1" max="1" width="7.85546875" customWidth="1"/>
    <col min="2" max="6" width="5.85546875" customWidth="1"/>
    <col min="7" max="7" width="18.28515625" customWidth="1"/>
    <col min="29" max="29" width="4.28515625" customWidth="1"/>
    <col min="30" max="30" width="76.7109375" customWidth="1"/>
  </cols>
  <sheetData>
    <row r="1" spans="1:30" x14ac:dyDescent="0.25">
      <c r="A1" s="1" t="s">
        <v>532</v>
      </c>
      <c r="P1" t="s">
        <v>493</v>
      </c>
    </row>
    <row r="3" spans="1:30" x14ac:dyDescent="0.25">
      <c r="B3" s="475" t="s">
        <v>162</v>
      </c>
      <c r="C3" s="475"/>
      <c r="D3" s="475"/>
      <c r="E3" s="475"/>
      <c r="G3" t="s">
        <v>121</v>
      </c>
      <c r="P3" t="s">
        <v>12</v>
      </c>
      <c r="W3" t="s">
        <v>505</v>
      </c>
    </row>
    <row r="4" spans="1:30" ht="15.75" thickBot="1" x14ac:dyDescent="0.3">
      <c r="A4" s="196" t="s">
        <v>163</v>
      </c>
      <c r="B4" s="38" t="s">
        <v>74</v>
      </c>
      <c r="C4" s="196" t="s">
        <v>65</v>
      </c>
      <c r="D4" s="196" t="s">
        <v>66</v>
      </c>
      <c r="E4" s="196" t="s">
        <v>67</v>
      </c>
    </row>
    <row r="5" spans="1:30" ht="15.75" thickBot="1" x14ac:dyDescent="0.3">
      <c r="A5" s="196">
        <v>1</v>
      </c>
      <c r="B5" s="64">
        <v>1</v>
      </c>
      <c r="C5" s="70">
        <v>2</v>
      </c>
      <c r="D5" s="70">
        <v>0</v>
      </c>
      <c r="E5" s="71">
        <v>1</v>
      </c>
      <c r="G5" s="199" t="s">
        <v>39</v>
      </c>
      <c r="H5" s="199" t="s">
        <v>11</v>
      </c>
      <c r="I5" s="199" t="s">
        <v>10</v>
      </c>
      <c r="J5" s="199" t="s">
        <v>106</v>
      </c>
      <c r="K5" s="199" t="s">
        <v>48</v>
      </c>
      <c r="P5" t="s">
        <v>502</v>
      </c>
      <c r="W5" t="s">
        <v>84</v>
      </c>
      <c r="AA5" s="196" t="s">
        <v>17</v>
      </c>
      <c r="AB5" s="196">
        <v>0.05</v>
      </c>
    </row>
    <row r="6" spans="1:30" ht="15.75" thickTop="1" x14ac:dyDescent="0.25">
      <c r="A6" s="196">
        <f>A5+1</f>
        <v>2</v>
      </c>
      <c r="B6" s="45">
        <v>1</v>
      </c>
      <c r="C6" s="198">
        <v>3</v>
      </c>
      <c r="D6" s="198">
        <v>3</v>
      </c>
      <c r="E6" s="72">
        <v>2</v>
      </c>
      <c r="G6" s="16">
        <v>1</v>
      </c>
      <c r="H6" s="16">
        <v>4</v>
      </c>
      <c r="I6" s="16">
        <v>4</v>
      </c>
      <c r="J6" s="16">
        <v>1</v>
      </c>
      <c r="K6" s="16">
        <v>0.66666666666666663</v>
      </c>
      <c r="Q6" s="196" t="str">
        <f>B4</f>
        <v>A</v>
      </c>
      <c r="R6" s="196" t="str">
        <f>C4</f>
        <v>B</v>
      </c>
      <c r="S6" s="196" t="str">
        <f>D4</f>
        <v>C</v>
      </c>
      <c r="T6" s="196" t="str">
        <f>E4</f>
        <v>D</v>
      </c>
      <c r="W6" s="191"/>
      <c r="X6" s="191" t="s">
        <v>76</v>
      </c>
      <c r="Y6" s="191" t="s">
        <v>37</v>
      </c>
      <c r="Z6" s="191" t="s">
        <v>78</v>
      </c>
      <c r="AA6" s="191" t="s">
        <v>68</v>
      </c>
      <c r="AB6" s="191" t="s">
        <v>43</v>
      </c>
      <c r="AC6" s="191" t="s">
        <v>111</v>
      </c>
    </row>
    <row r="7" spans="1:30" x14ac:dyDescent="0.25">
      <c r="A7" s="196">
        <f t="shared" ref="A7:A12" si="0">A6+1</f>
        <v>3</v>
      </c>
      <c r="B7" s="25">
        <v>3</v>
      </c>
      <c r="C7" s="198">
        <v>8</v>
      </c>
      <c r="D7" s="198">
        <v>1</v>
      </c>
      <c r="E7" s="72">
        <v>4</v>
      </c>
      <c r="G7" s="16">
        <v>2</v>
      </c>
      <c r="H7" s="16">
        <v>4</v>
      </c>
      <c r="I7" s="16">
        <v>9</v>
      </c>
      <c r="J7" s="16">
        <v>2.25</v>
      </c>
      <c r="K7" s="16">
        <v>0.91666666666666663</v>
      </c>
      <c r="P7">
        <f t="shared" ref="P7:P14" si="1">A5</f>
        <v>1</v>
      </c>
      <c r="Q7" s="186">
        <f t="shared" ref="Q7:T14" si="2">COUNT(B5)</f>
        <v>1</v>
      </c>
      <c r="R7" s="187">
        <f t="shared" si="2"/>
        <v>1</v>
      </c>
      <c r="S7" s="187">
        <f t="shared" si="2"/>
        <v>1</v>
      </c>
      <c r="T7" s="188">
        <f t="shared" si="2"/>
        <v>1</v>
      </c>
      <c r="U7">
        <f t="shared" ref="U7:U14" si="3">COUNT(B5:E5)</f>
        <v>4</v>
      </c>
      <c r="W7" t="s">
        <v>69</v>
      </c>
      <c r="X7">
        <f>DEVSQ(U19:U26)*U7</f>
        <v>188.21875</v>
      </c>
      <c r="Y7">
        <f>COUNT(U19:U26)-1</f>
        <v>7</v>
      </c>
      <c r="Z7">
        <f>X7/Y7</f>
        <v>26.888392857142858</v>
      </c>
      <c r="AA7">
        <f>Z7/Z9</f>
        <v>11.7866927592955</v>
      </c>
      <c r="AB7">
        <f>FDIST(AA7,Y7,Y9)</f>
        <v>5.0257154640603623E-6</v>
      </c>
      <c r="AC7" s="196" t="str">
        <f>IF(AB7&lt;AB5,"yes","no")</f>
        <v>yes</v>
      </c>
    </row>
    <row r="8" spans="1:30" x14ac:dyDescent="0.25">
      <c r="A8" s="196">
        <f t="shared" si="0"/>
        <v>4</v>
      </c>
      <c r="B8" s="25">
        <v>6</v>
      </c>
      <c r="C8" s="198">
        <v>4</v>
      </c>
      <c r="D8" s="198">
        <v>3</v>
      </c>
      <c r="E8" s="72">
        <v>3</v>
      </c>
      <c r="G8" s="16">
        <v>3</v>
      </c>
      <c r="H8" s="16">
        <v>4</v>
      </c>
      <c r="I8" s="16">
        <v>16</v>
      </c>
      <c r="J8" s="16">
        <v>4</v>
      </c>
      <c r="K8" s="16">
        <v>8.6666666666666661</v>
      </c>
      <c r="P8">
        <f t="shared" si="1"/>
        <v>2</v>
      </c>
      <c r="Q8" s="76">
        <f t="shared" si="2"/>
        <v>1</v>
      </c>
      <c r="R8" s="7">
        <f t="shared" si="2"/>
        <v>1</v>
      </c>
      <c r="S8" s="7">
        <f t="shared" si="2"/>
        <v>1</v>
      </c>
      <c r="T8" s="35">
        <f t="shared" si="2"/>
        <v>1</v>
      </c>
      <c r="U8">
        <f t="shared" si="3"/>
        <v>4</v>
      </c>
      <c r="W8" t="s">
        <v>123</v>
      </c>
      <c r="X8">
        <f>DEVSQ(Q27:T27)*Q15</f>
        <v>7.34375</v>
      </c>
      <c r="Y8">
        <f>COUNT(Q27:T27)-1</f>
        <v>3</v>
      </c>
      <c r="Z8">
        <f>X8/Y8</f>
        <v>2.4479166666666665</v>
      </c>
      <c r="AA8">
        <f>Z8/Z9</f>
        <v>1.0730593607305936</v>
      </c>
      <c r="AB8">
        <f>FDIST(AA8,Y8,Y9)</f>
        <v>0.3818394427683251</v>
      </c>
      <c r="AC8" s="196" t="str">
        <f>IF(AB8&lt;AB5,"yes","no")</f>
        <v>no</v>
      </c>
    </row>
    <row r="9" spans="1:30" x14ac:dyDescent="0.25">
      <c r="A9" s="196">
        <f t="shared" si="0"/>
        <v>5</v>
      </c>
      <c r="B9" s="25">
        <v>6</v>
      </c>
      <c r="C9" s="198">
        <v>5</v>
      </c>
      <c r="D9" s="198">
        <v>5</v>
      </c>
      <c r="E9" s="72">
        <v>6</v>
      </c>
      <c r="G9" s="16">
        <v>4</v>
      </c>
      <c r="H9" s="16">
        <v>4</v>
      </c>
      <c r="I9" s="16">
        <v>16</v>
      </c>
      <c r="J9" s="16">
        <v>4</v>
      </c>
      <c r="K9" s="16">
        <v>2</v>
      </c>
      <c r="P9">
        <f t="shared" si="1"/>
        <v>3</v>
      </c>
      <c r="Q9" s="76">
        <f t="shared" si="2"/>
        <v>1</v>
      </c>
      <c r="R9" s="7">
        <f t="shared" si="2"/>
        <v>1</v>
      </c>
      <c r="S9" s="7">
        <f t="shared" si="2"/>
        <v>1</v>
      </c>
      <c r="T9" s="35">
        <f t="shared" si="2"/>
        <v>1</v>
      </c>
      <c r="U9">
        <f t="shared" si="3"/>
        <v>4</v>
      </c>
      <c r="W9" t="s">
        <v>122</v>
      </c>
      <c r="X9">
        <f>X11-X7-X8</f>
        <v>47.90625</v>
      </c>
      <c r="Y9">
        <f>Y8*Y7</f>
        <v>21</v>
      </c>
      <c r="Z9">
        <f>X9/Y9</f>
        <v>2.28125</v>
      </c>
    </row>
    <row r="10" spans="1:30" x14ac:dyDescent="0.25">
      <c r="A10" s="196">
        <f t="shared" si="0"/>
        <v>6</v>
      </c>
      <c r="B10" s="25">
        <v>7</v>
      </c>
      <c r="C10" s="198">
        <v>5</v>
      </c>
      <c r="D10" s="198">
        <v>6</v>
      </c>
      <c r="E10" s="72">
        <v>2</v>
      </c>
      <c r="G10" s="16">
        <v>5</v>
      </c>
      <c r="H10" s="16">
        <v>4</v>
      </c>
      <c r="I10" s="16">
        <v>22</v>
      </c>
      <c r="J10" s="16">
        <v>5.5</v>
      </c>
      <c r="K10" s="16">
        <v>0.33333333333333331</v>
      </c>
      <c r="P10">
        <f t="shared" si="1"/>
        <v>4</v>
      </c>
      <c r="Q10" s="76">
        <f t="shared" si="2"/>
        <v>1</v>
      </c>
      <c r="R10" s="7">
        <f t="shared" si="2"/>
        <v>1</v>
      </c>
      <c r="S10" s="7">
        <f t="shared" si="2"/>
        <v>1</v>
      </c>
      <c r="T10" s="35">
        <f t="shared" si="2"/>
        <v>1</v>
      </c>
      <c r="U10">
        <f t="shared" si="3"/>
        <v>4</v>
      </c>
    </row>
    <row r="11" spans="1:30" x14ac:dyDescent="0.25">
      <c r="A11" s="196">
        <f t="shared" si="0"/>
        <v>7</v>
      </c>
      <c r="B11" s="25">
        <v>8</v>
      </c>
      <c r="C11" s="198">
        <v>7</v>
      </c>
      <c r="D11" s="198">
        <v>7</v>
      </c>
      <c r="E11" s="72">
        <v>9</v>
      </c>
      <c r="G11" s="16">
        <v>6</v>
      </c>
      <c r="H11" s="16">
        <v>4</v>
      </c>
      <c r="I11" s="16">
        <v>20</v>
      </c>
      <c r="J11" s="16">
        <v>5</v>
      </c>
      <c r="K11" s="16">
        <v>4.666666666666667</v>
      </c>
      <c r="P11">
        <f t="shared" si="1"/>
        <v>5</v>
      </c>
      <c r="Q11" s="76">
        <f t="shared" si="2"/>
        <v>1</v>
      </c>
      <c r="R11" s="7">
        <f t="shared" si="2"/>
        <v>1</v>
      </c>
      <c r="S11" s="7">
        <f t="shared" si="2"/>
        <v>1</v>
      </c>
      <c r="T11" s="35">
        <f t="shared" si="2"/>
        <v>1</v>
      </c>
      <c r="U11">
        <f t="shared" si="3"/>
        <v>4</v>
      </c>
      <c r="W11" s="185" t="s">
        <v>1</v>
      </c>
      <c r="X11" s="185">
        <f>Z11*Y11</f>
        <v>243.46875</v>
      </c>
      <c r="Y11" s="185">
        <f>U15-1</f>
        <v>31</v>
      </c>
      <c r="Z11" s="185">
        <f>U39</f>
        <v>7.85383064516129</v>
      </c>
      <c r="AA11" s="185"/>
      <c r="AB11" s="185"/>
      <c r="AC11" s="185"/>
    </row>
    <row r="12" spans="1:30" x14ac:dyDescent="0.25">
      <c r="A12" s="196">
        <f t="shared" si="0"/>
        <v>8</v>
      </c>
      <c r="B12" s="62">
        <v>9</v>
      </c>
      <c r="C12" s="197">
        <v>9</v>
      </c>
      <c r="D12" s="197">
        <v>9</v>
      </c>
      <c r="E12" s="54">
        <v>8</v>
      </c>
      <c r="G12" s="16">
        <v>7</v>
      </c>
      <c r="H12" s="16">
        <v>4</v>
      </c>
      <c r="I12" s="16">
        <v>31</v>
      </c>
      <c r="J12" s="16">
        <v>7.75</v>
      </c>
      <c r="K12" s="16">
        <v>0.91666666666666663</v>
      </c>
      <c r="P12">
        <f t="shared" si="1"/>
        <v>6</v>
      </c>
      <c r="Q12" s="76">
        <f t="shared" si="2"/>
        <v>1</v>
      </c>
      <c r="R12" s="7">
        <f t="shared" si="2"/>
        <v>1</v>
      </c>
      <c r="S12" s="7">
        <f t="shared" si="2"/>
        <v>1</v>
      </c>
      <c r="T12" s="35">
        <f t="shared" si="2"/>
        <v>1</v>
      </c>
      <c r="U12">
        <f t="shared" si="3"/>
        <v>4</v>
      </c>
    </row>
    <row r="13" spans="1:30" x14ac:dyDescent="0.25">
      <c r="G13" s="16">
        <v>8</v>
      </c>
      <c r="H13" s="16">
        <v>4</v>
      </c>
      <c r="I13" s="16">
        <v>35</v>
      </c>
      <c r="J13" s="16">
        <v>8.75</v>
      </c>
      <c r="K13" s="16">
        <v>0.25</v>
      </c>
      <c r="P13">
        <f t="shared" si="1"/>
        <v>7</v>
      </c>
      <c r="Q13" s="76">
        <f t="shared" si="2"/>
        <v>1</v>
      </c>
      <c r="R13" s="7">
        <f t="shared" si="2"/>
        <v>1</v>
      </c>
      <c r="S13" s="7">
        <f t="shared" si="2"/>
        <v>1</v>
      </c>
      <c r="T13" s="35">
        <f t="shared" si="2"/>
        <v>1</v>
      </c>
      <c r="U13">
        <f t="shared" si="3"/>
        <v>4</v>
      </c>
      <c r="W13" t="s">
        <v>507</v>
      </c>
      <c r="Y13" s="148">
        <f>(Z7-Z9)/(Z7+Y8*Z9+(Y8+1)*(Z8-Z9)/(Y7+1))</f>
        <v>0.72768878718535457</v>
      </c>
    </row>
    <row r="14" spans="1:30" x14ac:dyDescent="0.25">
      <c r="G14" s="16"/>
      <c r="H14" s="16"/>
      <c r="I14" s="16"/>
      <c r="J14" s="16"/>
      <c r="K14" s="16"/>
      <c r="P14">
        <f t="shared" si="1"/>
        <v>8</v>
      </c>
      <c r="Q14" s="182">
        <f t="shared" si="2"/>
        <v>1</v>
      </c>
      <c r="R14" s="183">
        <f t="shared" si="2"/>
        <v>1</v>
      </c>
      <c r="S14" s="183">
        <f t="shared" si="2"/>
        <v>1</v>
      </c>
      <c r="T14" s="184">
        <f t="shared" si="2"/>
        <v>1</v>
      </c>
      <c r="U14">
        <f t="shared" si="3"/>
        <v>4</v>
      </c>
    </row>
    <row r="15" spans="1:30" x14ac:dyDescent="0.25">
      <c r="G15" s="16" t="s">
        <v>74</v>
      </c>
      <c r="H15" s="16">
        <v>8</v>
      </c>
      <c r="I15" s="16">
        <v>41</v>
      </c>
      <c r="J15" s="16">
        <v>5.125</v>
      </c>
      <c r="K15" s="16">
        <v>9.5535714285714288</v>
      </c>
      <c r="Q15">
        <f>COUNT(B5:B12)</f>
        <v>8</v>
      </c>
      <c r="R15">
        <f>COUNT(C5:C12)</f>
        <v>8</v>
      </c>
      <c r="S15">
        <f>COUNT(D5:D12)</f>
        <v>8</v>
      </c>
      <c r="T15">
        <f>COUNT(E5:E12)</f>
        <v>8</v>
      </c>
      <c r="U15">
        <f>COUNT(B5:E12)</f>
        <v>32</v>
      </c>
      <c r="AA15" t="s">
        <v>58</v>
      </c>
      <c r="AB15" s="194">
        <v>0.05</v>
      </c>
    </row>
    <row r="16" spans="1:30" x14ac:dyDescent="0.25">
      <c r="G16" s="16" t="s">
        <v>65</v>
      </c>
      <c r="H16" s="16">
        <v>8</v>
      </c>
      <c r="I16" s="16">
        <v>43</v>
      </c>
      <c r="J16" s="16">
        <v>5.375</v>
      </c>
      <c r="K16" s="16">
        <v>5.9821428571428568</v>
      </c>
      <c r="W16" t="s">
        <v>510</v>
      </c>
      <c r="Y16" s="194">
        <f>Z7-Z9</f>
        <v>24.607142857142858</v>
      </c>
      <c r="AA16" s="34" t="s">
        <v>16</v>
      </c>
      <c r="AB16" s="78">
        <f>Y7+1</f>
        <v>8</v>
      </c>
      <c r="AD16" s="14" t="s">
        <v>522</v>
      </c>
    </row>
    <row r="17" spans="7:30" x14ac:dyDescent="0.25">
      <c r="G17" s="16" t="s">
        <v>66</v>
      </c>
      <c r="H17" s="16">
        <v>8</v>
      </c>
      <c r="I17" s="16">
        <v>34</v>
      </c>
      <c r="J17" s="16">
        <v>4.25</v>
      </c>
      <c r="K17" s="16">
        <v>9.3571428571428577</v>
      </c>
      <c r="P17" t="s">
        <v>125</v>
      </c>
      <c r="W17" t="s">
        <v>511</v>
      </c>
      <c r="Y17" s="78">
        <f>(Y8+1)*Z9</f>
        <v>9.125</v>
      </c>
      <c r="AA17" s="34" t="s">
        <v>34</v>
      </c>
      <c r="AB17" s="78">
        <f>Y8+1</f>
        <v>4</v>
      </c>
      <c r="AD17" s="14" t="s">
        <v>523</v>
      </c>
    </row>
    <row r="18" spans="7:30" ht="15.75" thickBot="1" x14ac:dyDescent="0.3">
      <c r="G18" s="17" t="s">
        <v>67</v>
      </c>
      <c r="H18" s="17">
        <v>8</v>
      </c>
      <c r="I18" s="17">
        <v>35</v>
      </c>
      <c r="J18" s="17">
        <v>4.375</v>
      </c>
      <c r="K18" s="17">
        <v>8.8392857142857135</v>
      </c>
      <c r="Q18" s="196" t="str">
        <f>B4</f>
        <v>A</v>
      </c>
      <c r="R18" s="196" t="str">
        <f>C4</f>
        <v>B</v>
      </c>
      <c r="S18" s="196" t="str">
        <f>D4</f>
        <v>C</v>
      </c>
      <c r="T18" s="196" t="str">
        <f>E4</f>
        <v>D</v>
      </c>
      <c r="W18" t="s">
        <v>512</v>
      </c>
      <c r="Y18" s="78">
        <f>(Y8+1)*(Z8-Z9)/(Y7+1)</f>
        <v>8.3333333333333259E-2</v>
      </c>
      <c r="AA18" t="s">
        <v>485</v>
      </c>
      <c r="AB18" s="78">
        <f>AB16*(1+(AB17-1)*Y13)-AB17*Y13</f>
        <v>22.553775743707089</v>
      </c>
      <c r="AD18" s="14" t="s">
        <v>525</v>
      </c>
    </row>
    <row r="19" spans="7:30" x14ac:dyDescent="0.25">
      <c r="P19">
        <f t="shared" ref="P19:P26" si="4">A5</f>
        <v>1</v>
      </c>
      <c r="Q19" s="186">
        <f t="shared" ref="Q19:T26" si="5">AVERAGE(B5)</f>
        <v>1</v>
      </c>
      <c r="R19" s="187">
        <f t="shared" si="5"/>
        <v>2</v>
      </c>
      <c r="S19" s="187">
        <f t="shared" si="5"/>
        <v>0</v>
      </c>
      <c r="T19" s="188">
        <f t="shared" si="5"/>
        <v>1</v>
      </c>
      <c r="U19">
        <f t="shared" ref="U19:U26" si="6">AVERAGE(B5:E5)</f>
        <v>1</v>
      </c>
      <c r="W19" t="s">
        <v>509</v>
      </c>
      <c r="Y19" s="78">
        <f>SUM(Y16:Y18)</f>
        <v>33.815476190476197</v>
      </c>
      <c r="AA19" t="s">
        <v>513</v>
      </c>
      <c r="AB19" s="78">
        <f>AA8</f>
        <v>1.0730593607305936</v>
      </c>
      <c r="AD19" s="14" t="s">
        <v>518</v>
      </c>
    </row>
    <row r="20" spans="7:30" x14ac:dyDescent="0.25">
      <c r="P20">
        <f t="shared" si="4"/>
        <v>2</v>
      </c>
      <c r="Q20" s="76">
        <f t="shared" si="5"/>
        <v>1</v>
      </c>
      <c r="R20" s="7">
        <f t="shared" si="5"/>
        <v>3</v>
      </c>
      <c r="S20" s="7">
        <f t="shared" si="5"/>
        <v>3</v>
      </c>
      <c r="T20" s="35">
        <f t="shared" si="5"/>
        <v>2</v>
      </c>
      <c r="U20">
        <f t="shared" si="6"/>
        <v>2.25</v>
      </c>
      <c r="W20" t="s">
        <v>507</v>
      </c>
      <c r="Y20" s="58">
        <f>Y16/Y19</f>
        <v>0.72768878718535457</v>
      </c>
      <c r="AA20" t="s">
        <v>514</v>
      </c>
      <c r="AB20" s="78">
        <f>AB17*Z8+(AB16*AB17-AB17-AB16)*Z9</f>
        <v>55.416666666666664</v>
      </c>
      <c r="AD20" s="14" t="s">
        <v>526</v>
      </c>
    </row>
    <row r="21" spans="7:30" ht="15.75" thickBot="1" x14ac:dyDescent="0.3">
      <c r="G21" t="s">
        <v>84</v>
      </c>
      <c r="P21">
        <f t="shared" si="4"/>
        <v>3</v>
      </c>
      <c r="Q21" s="76">
        <f t="shared" si="5"/>
        <v>3</v>
      </c>
      <c r="R21" s="7">
        <f t="shared" si="5"/>
        <v>8</v>
      </c>
      <c r="S21" s="7">
        <f t="shared" si="5"/>
        <v>1</v>
      </c>
      <c r="T21" s="35">
        <f t="shared" si="5"/>
        <v>4</v>
      </c>
      <c r="U21">
        <f t="shared" si="6"/>
        <v>4</v>
      </c>
      <c r="AA21" t="s">
        <v>24</v>
      </c>
      <c r="AB21" s="78">
        <f>(AB17-1)*(AB16-1)*(AB17*Y13*AB19+AB18)^2/((AB16-1)*(AB17*Y13*AB19)^2+AB18^2)</f>
        <v>23.997525280220316</v>
      </c>
      <c r="AD21" s="14" t="s">
        <v>524</v>
      </c>
    </row>
    <row r="22" spans="7:30" x14ac:dyDescent="0.25">
      <c r="G22" s="199" t="s">
        <v>107</v>
      </c>
      <c r="H22" s="199" t="s">
        <v>76</v>
      </c>
      <c r="I22" s="199" t="s">
        <v>37</v>
      </c>
      <c r="J22" s="199" t="s">
        <v>78</v>
      </c>
      <c r="K22" s="199" t="s">
        <v>68</v>
      </c>
      <c r="L22" s="199" t="s">
        <v>62</v>
      </c>
      <c r="M22" s="199" t="s">
        <v>108</v>
      </c>
      <c r="P22">
        <f t="shared" si="4"/>
        <v>4</v>
      </c>
      <c r="Q22" s="76">
        <f t="shared" si="5"/>
        <v>6</v>
      </c>
      <c r="R22" s="7">
        <f t="shared" si="5"/>
        <v>4</v>
      </c>
      <c r="S22" s="7">
        <f t="shared" si="5"/>
        <v>3</v>
      </c>
      <c r="T22" s="35">
        <f t="shared" si="5"/>
        <v>3</v>
      </c>
      <c r="U22">
        <f t="shared" si="6"/>
        <v>4</v>
      </c>
      <c r="AA22" t="s">
        <v>517</v>
      </c>
      <c r="AB22" s="78">
        <f>MAX(1,ROUND(AB21,0))</f>
        <v>24</v>
      </c>
      <c r="AD22" s="14" t="s">
        <v>519</v>
      </c>
    </row>
    <row r="23" spans="7:30" x14ac:dyDescent="0.25">
      <c r="G23" s="16" t="s">
        <v>69</v>
      </c>
      <c r="H23" s="16">
        <v>188.21875</v>
      </c>
      <c r="I23" s="16">
        <v>7</v>
      </c>
      <c r="J23" s="16">
        <v>26.888392857142858</v>
      </c>
      <c r="K23" s="16">
        <v>11.7866927592955</v>
      </c>
      <c r="L23" s="16">
        <v>5.0257154640603623E-6</v>
      </c>
      <c r="M23" s="16">
        <v>2.487577703722041</v>
      </c>
      <c r="P23">
        <f t="shared" si="4"/>
        <v>5</v>
      </c>
      <c r="Q23" s="76">
        <f t="shared" si="5"/>
        <v>6</v>
      </c>
      <c r="R23" s="7">
        <f t="shared" si="5"/>
        <v>5</v>
      </c>
      <c r="S23" s="7">
        <f t="shared" si="5"/>
        <v>5</v>
      </c>
      <c r="T23" s="35">
        <f t="shared" si="5"/>
        <v>6</v>
      </c>
      <c r="U23">
        <f t="shared" si="6"/>
        <v>5.5</v>
      </c>
      <c r="AA23" t="s">
        <v>515</v>
      </c>
      <c r="AB23" s="78">
        <f>FINV(AB15/2,AB16-1,AB22)</f>
        <v>2.8738081880378892</v>
      </c>
      <c r="AD23" s="14" t="s">
        <v>520</v>
      </c>
    </row>
    <row r="24" spans="7:30" x14ac:dyDescent="0.25">
      <c r="G24" s="16" t="s">
        <v>123</v>
      </c>
      <c r="H24" s="16">
        <v>7.34375</v>
      </c>
      <c r="I24" s="16">
        <v>3</v>
      </c>
      <c r="J24" s="16">
        <v>2.4479166666666665</v>
      </c>
      <c r="K24" s="16">
        <v>1.0730593607305936</v>
      </c>
      <c r="L24" s="16">
        <v>0.3818394427683251</v>
      </c>
      <c r="M24" s="16">
        <v>3.0724669863968779</v>
      </c>
      <c r="P24">
        <f t="shared" si="4"/>
        <v>6</v>
      </c>
      <c r="Q24" s="76">
        <f t="shared" si="5"/>
        <v>7</v>
      </c>
      <c r="R24" s="7">
        <f t="shared" si="5"/>
        <v>5</v>
      </c>
      <c r="S24" s="7">
        <f t="shared" si="5"/>
        <v>6</v>
      </c>
      <c r="T24" s="35">
        <f t="shared" si="5"/>
        <v>2</v>
      </c>
      <c r="U24">
        <f t="shared" si="6"/>
        <v>5</v>
      </c>
      <c r="AA24" t="s">
        <v>516</v>
      </c>
      <c r="AB24" s="58">
        <f>FINV(AB15/2,AB23,AB16-1)</f>
        <v>6.5415202970956496</v>
      </c>
      <c r="AD24" s="14" t="s">
        <v>521</v>
      </c>
    </row>
    <row r="25" spans="7:30" x14ac:dyDescent="0.25">
      <c r="G25" s="16" t="s">
        <v>122</v>
      </c>
      <c r="H25" s="16">
        <v>47.90625</v>
      </c>
      <c r="I25" s="16">
        <v>21</v>
      </c>
      <c r="J25" s="16">
        <v>2.28125</v>
      </c>
      <c r="K25" s="16"/>
      <c r="L25" s="16"/>
      <c r="M25" s="16"/>
      <c r="P25">
        <f t="shared" si="4"/>
        <v>7</v>
      </c>
      <c r="Q25" s="76">
        <f t="shared" si="5"/>
        <v>8</v>
      </c>
      <c r="R25" s="7">
        <f t="shared" si="5"/>
        <v>7</v>
      </c>
      <c r="S25" s="7">
        <f t="shared" si="5"/>
        <v>7</v>
      </c>
      <c r="T25" s="35">
        <f t="shared" si="5"/>
        <v>9</v>
      </c>
      <c r="U25">
        <f t="shared" si="6"/>
        <v>7.75</v>
      </c>
    </row>
    <row r="26" spans="7:30" x14ac:dyDescent="0.25">
      <c r="G26" s="16"/>
      <c r="H26" s="16"/>
      <c r="I26" s="16"/>
      <c r="J26" s="16"/>
      <c r="K26" s="16"/>
      <c r="L26" s="16"/>
      <c r="M26" s="16"/>
      <c r="P26">
        <f t="shared" si="4"/>
        <v>8</v>
      </c>
      <c r="Q26" s="182">
        <f t="shared" si="5"/>
        <v>9</v>
      </c>
      <c r="R26" s="183">
        <f t="shared" si="5"/>
        <v>9</v>
      </c>
      <c r="S26" s="183">
        <f t="shared" si="5"/>
        <v>9</v>
      </c>
      <c r="T26" s="184">
        <f t="shared" si="5"/>
        <v>8</v>
      </c>
      <c r="U26">
        <f t="shared" si="6"/>
        <v>8.75</v>
      </c>
      <c r="AA26" t="s">
        <v>14</v>
      </c>
      <c r="AB26" s="194">
        <f>AB16*(Z7-AB23*Z9)/(AB21+AB23*AB20+AB16*Z7)</f>
        <v>0.40832291193154907</v>
      </c>
      <c r="AD26" s="14" t="s">
        <v>527</v>
      </c>
    </row>
    <row r="27" spans="7:30" ht="15.75" thickBot="1" x14ac:dyDescent="0.3">
      <c r="G27" s="17" t="s">
        <v>1</v>
      </c>
      <c r="H27" s="17">
        <v>243.46875</v>
      </c>
      <c r="I27" s="17">
        <v>31</v>
      </c>
      <c r="J27" s="17"/>
      <c r="K27" s="17"/>
      <c r="L27" s="17"/>
      <c r="M27" s="17"/>
      <c r="Q27">
        <f>AVERAGE(B5:B12)</f>
        <v>5.125</v>
      </c>
      <c r="R27">
        <f>AVERAGE(C5:C12)</f>
        <v>5.375</v>
      </c>
      <c r="S27">
        <f>AVERAGE(D5:D12)</f>
        <v>4.25</v>
      </c>
      <c r="T27">
        <f>AVERAGE(E5:E12)</f>
        <v>4.375</v>
      </c>
      <c r="U27">
        <f>AVERAGE(B5:E12)</f>
        <v>4.78125</v>
      </c>
      <c r="AA27" t="s">
        <v>15</v>
      </c>
      <c r="AB27" s="58">
        <f>AB16*(AB24*Z7-Z9)/(AB20+AB16*AB24*Z7)</f>
        <v>0.94963115904175321</v>
      </c>
      <c r="AD27" s="14" t="s">
        <v>528</v>
      </c>
    </row>
    <row r="29" spans="7:30" x14ac:dyDescent="0.25">
      <c r="H29" t="s">
        <v>533</v>
      </c>
      <c r="I29" s="148">
        <f>(J23-J25)/(J23+(I24*J25))</f>
        <v>0.72948650079407085</v>
      </c>
      <c r="K29" s="14" t="e">
        <f ca="1">FTEXT(I29)</f>
        <v>#NAME?</v>
      </c>
      <c r="P29" t="s">
        <v>503</v>
      </c>
    </row>
    <row r="30" spans="7:30" x14ac:dyDescent="0.25">
      <c r="Q30" s="196" t="str">
        <f>B4</f>
        <v>A</v>
      </c>
      <c r="R30" s="196" t="str">
        <f>C4</f>
        <v>B</v>
      </c>
      <c r="S30" s="196" t="str">
        <f>D4</f>
        <v>C</v>
      </c>
      <c r="T30" s="196" t="str">
        <f>E4</f>
        <v>D</v>
      </c>
    </row>
    <row r="31" spans="7:30" x14ac:dyDescent="0.25">
      <c r="H31" t="s">
        <v>58</v>
      </c>
      <c r="I31" s="194">
        <v>0.05</v>
      </c>
      <c r="P31">
        <f t="shared" ref="P31:P38" si="7">A5</f>
        <v>1</v>
      </c>
      <c r="Q31" s="186" t="e">
        <f t="shared" ref="Q31:T38" si="8">VAR(B5)</f>
        <v>#DIV/0!</v>
      </c>
      <c r="R31" s="187" t="e">
        <f t="shared" si="8"/>
        <v>#DIV/0!</v>
      </c>
      <c r="S31" s="187" t="e">
        <f t="shared" si="8"/>
        <v>#DIV/0!</v>
      </c>
      <c r="T31" s="188" t="e">
        <f t="shared" si="8"/>
        <v>#DIV/0!</v>
      </c>
      <c r="U31">
        <f t="shared" ref="U31:U38" si="9">VAR(B5:E5)</f>
        <v>0.66666666666666663</v>
      </c>
    </row>
    <row r="32" spans="7:30" x14ac:dyDescent="0.25">
      <c r="H32" t="s">
        <v>34</v>
      </c>
      <c r="I32" s="78">
        <f>I24+1</f>
        <v>4</v>
      </c>
      <c r="K32" s="14" t="e">
        <f ca="1">FTEXT(I32)</f>
        <v>#NAME?</v>
      </c>
      <c r="P32">
        <f t="shared" si="7"/>
        <v>2</v>
      </c>
      <c r="Q32" s="76" t="e">
        <f t="shared" si="8"/>
        <v>#DIV/0!</v>
      </c>
      <c r="R32" s="7" t="e">
        <f t="shared" si="8"/>
        <v>#DIV/0!</v>
      </c>
      <c r="S32" s="7" t="e">
        <f t="shared" si="8"/>
        <v>#DIV/0!</v>
      </c>
      <c r="T32" s="35" t="e">
        <f t="shared" si="8"/>
        <v>#DIV/0!</v>
      </c>
      <c r="U32">
        <f t="shared" si="9"/>
        <v>0.91666666666666663</v>
      </c>
    </row>
    <row r="33" spans="8:21" x14ac:dyDescent="0.25">
      <c r="H33" t="s">
        <v>534</v>
      </c>
      <c r="I33" s="78">
        <f>I23</f>
        <v>7</v>
      </c>
      <c r="K33" s="14" t="e">
        <f ca="1">FTEXT(I33)</f>
        <v>#NAME?</v>
      </c>
      <c r="P33">
        <f t="shared" si="7"/>
        <v>3</v>
      </c>
      <c r="Q33" s="76" t="e">
        <f t="shared" si="8"/>
        <v>#DIV/0!</v>
      </c>
      <c r="R33" s="7" t="e">
        <f t="shared" si="8"/>
        <v>#DIV/0!</v>
      </c>
      <c r="S33" s="7" t="e">
        <f t="shared" si="8"/>
        <v>#DIV/0!</v>
      </c>
      <c r="T33" s="35" t="e">
        <f t="shared" si="8"/>
        <v>#DIV/0!</v>
      </c>
      <c r="U33">
        <f t="shared" si="9"/>
        <v>8.6666666666666661</v>
      </c>
    </row>
    <row r="34" spans="8:21" x14ac:dyDescent="0.25">
      <c r="H34" t="s">
        <v>137</v>
      </c>
      <c r="I34" s="78">
        <f>I25</f>
        <v>21</v>
      </c>
      <c r="K34" s="14" t="e">
        <f ca="1">FTEXT(I34)</f>
        <v>#NAME?</v>
      </c>
      <c r="P34">
        <f t="shared" si="7"/>
        <v>4</v>
      </c>
      <c r="Q34" s="76" t="e">
        <f t="shared" si="8"/>
        <v>#DIV/0!</v>
      </c>
      <c r="R34" s="7" t="e">
        <f t="shared" si="8"/>
        <v>#DIV/0!</v>
      </c>
      <c r="S34" s="7" t="e">
        <f t="shared" si="8"/>
        <v>#DIV/0!</v>
      </c>
      <c r="T34" s="35" t="e">
        <f t="shared" si="8"/>
        <v>#DIV/0!</v>
      </c>
      <c r="U34">
        <f t="shared" si="9"/>
        <v>2</v>
      </c>
    </row>
    <row r="35" spans="8:21" x14ac:dyDescent="0.25">
      <c r="H35" t="s">
        <v>68</v>
      </c>
      <c r="I35" s="78">
        <f>K23</f>
        <v>11.7866927592955</v>
      </c>
      <c r="K35" s="14" t="e">
        <f ca="1">FTEXT(I35)</f>
        <v>#NAME?</v>
      </c>
      <c r="P35">
        <f t="shared" si="7"/>
        <v>5</v>
      </c>
      <c r="Q35" s="76" t="e">
        <f t="shared" si="8"/>
        <v>#DIV/0!</v>
      </c>
      <c r="R35" s="7" t="e">
        <f t="shared" si="8"/>
        <v>#DIV/0!</v>
      </c>
      <c r="S35" s="7" t="e">
        <f t="shared" si="8"/>
        <v>#DIV/0!</v>
      </c>
      <c r="T35" s="35" t="e">
        <f t="shared" si="8"/>
        <v>#DIV/0!</v>
      </c>
      <c r="U35">
        <f t="shared" si="9"/>
        <v>0.33333333333333331</v>
      </c>
    </row>
    <row r="36" spans="8:21" x14ac:dyDescent="0.25">
      <c r="H36" t="s">
        <v>530</v>
      </c>
      <c r="I36" s="78">
        <f>I35/FINV(I31/2,I33,I34)</f>
        <v>3.9704144434180857</v>
      </c>
      <c r="K36" s="14" t="e">
        <f ca="1">FTEXT(I36)</f>
        <v>#NAME?</v>
      </c>
      <c r="P36">
        <f t="shared" si="7"/>
        <v>6</v>
      </c>
      <c r="Q36" s="76" t="e">
        <f t="shared" si="8"/>
        <v>#DIV/0!</v>
      </c>
      <c r="R36" s="7" t="e">
        <f t="shared" si="8"/>
        <v>#DIV/0!</v>
      </c>
      <c r="S36" s="7" t="e">
        <f t="shared" si="8"/>
        <v>#DIV/0!</v>
      </c>
      <c r="T36" s="35" t="e">
        <f t="shared" si="8"/>
        <v>#DIV/0!</v>
      </c>
      <c r="U36">
        <f t="shared" si="9"/>
        <v>4.666666666666667</v>
      </c>
    </row>
    <row r="37" spans="8:21" x14ac:dyDescent="0.25">
      <c r="H37" t="s">
        <v>531</v>
      </c>
      <c r="I37" s="78">
        <f>I35*FINV(I31/2,I34,I33)</f>
        <v>52.47485618420589</v>
      </c>
      <c r="K37" s="14" t="e">
        <f ca="1">FTEXT(I37)</f>
        <v>#NAME?</v>
      </c>
      <c r="P37">
        <f t="shared" si="7"/>
        <v>7</v>
      </c>
      <c r="Q37" s="76" t="e">
        <f t="shared" si="8"/>
        <v>#DIV/0!</v>
      </c>
      <c r="R37" s="7" t="e">
        <f t="shared" si="8"/>
        <v>#DIV/0!</v>
      </c>
      <c r="S37" s="7" t="e">
        <f t="shared" si="8"/>
        <v>#DIV/0!</v>
      </c>
      <c r="T37" s="35" t="e">
        <f t="shared" si="8"/>
        <v>#DIV/0!</v>
      </c>
      <c r="U37">
        <f t="shared" si="9"/>
        <v>0.91666666666666663</v>
      </c>
    </row>
    <row r="38" spans="8:21" x14ac:dyDescent="0.25">
      <c r="H38" t="s">
        <v>14</v>
      </c>
      <c r="I38" s="78">
        <f>(I36-1)/(I36+I32-1)</f>
        <v>0.42614603012923313</v>
      </c>
      <c r="K38" s="14" t="e">
        <f ca="1">FTEXT(I38)</f>
        <v>#NAME?</v>
      </c>
      <c r="P38">
        <f t="shared" si="7"/>
        <v>8</v>
      </c>
      <c r="Q38" s="182" t="e">
        <f t="shared" si="8"/>
        <v>#DIV/0!</v>
      </c>
      <c r="R38" s="183" t="e">
        <f t="shared" si="8"/>
        <v>#DIV/0!</v>
      </c>
      <c r="S38" s="183" t="e">
        <f t="shared" si="8"/>
        <v>#DIV/0!</v>
      </c>
      <c r="T38" s="184" t="e">
        <f t="shared" si="8"/>
        <v>#DIV/0!</v>
      </c>
      <c r="U38">
        <f t="shared" si="9"/>
        <v>0.25</v>
      </c>
    </row>
    <row r="39" spans="8:21" x14ac:dyDescent="0.25">
      <c r="H39" t="s">
        <v>15</v>
      </c>
      <c r="I39" s="58">
        <f>(I37-1)/(I37+I32-1)</f>
        <v>0.92789526147273127</v>
      </c>
      <c r="K39" s="14" t="e">
        <f ca="1">FTEXT(I39)</f>
        <v>#NAME?</v>
      </c>
      <c r="Q39">
        <f>VAR(B5:B12)</f>
        <v>9.5535714285714288</v>
      </c>
      <c r="R39">
        <f>VAR(C5:C12)</f>
        <v>5.9821428571428568</v>
      </c>
      <c r="S39">
        <f>VAR(D5:D12)</f>
        <v>9.3571428571428577</v>
      </c>
      <c r="T39">
        <f>VAR(E5:E12)</f>
        <v>8.8392857142857135</v>
      </c>
      <c r="U39">
        <f>VAR(B5:E12)</f>
        <v>7.85383064516129</v>
      </c>
    </row>
    <row r="41" spans="8:21" x14ac:dyDescent="0.25">
      <c r="H41" t="s">
        <v>539</v>
      </c>
      <c r="I41" s="200">
        <f>(J23-J25)/J23</f>
        <v>0.91515855885771213</v>
      </c>
      <c r="K41" s="14" t="s">
        <v>536</v>
      </c>
    </row>
    <row r="42" spans="8:21" x14ac:dyDescent="0.25">
      <c r="H42" t="s">
        <v>14</v>
      </c>
      <c r="I42" s="78">
        <f>1-1/I36</f>
        <v>0.74813712415898048</v>
      </c>
      <c r="K42" s="14" t="s">
        <v>537</v>
      </c>
    </row>
    <row r="43" spans="8:21" x14ac:dyDescent="0.25">
      <c r="H43" t="s">
        <v>15</v>
      </c>
      <c r="I43" s="58">
        <f>1-1/I37</f>
        <v>0.98094325410841265</v>
      </c>
      <c r="K43" s="14" t="s">
        <v>538</v>
      </c>
    </row>
    <row r="45" spans="8:21" x14ac:dyDescent="0.25">
      <c r="H45" t="s">
        <v>540</v>
      </c>
      <c r="I45" s="148" t="e">
        <f ca="1">CRONALPHA(B5:E12)</f>
        <v>#NAME?</v>
      </c>
      <c r="K45" s="14" t="s">
        <v>541</v>
      </c>
    </row>
    <row r="47" spans="8:21" x14ac:dyDescent="0.25">
      <c r="H47" t="s">
        <v>552</v>
      </c>
    </row>
    <row r="49" spans="8:11" x14ac:dyDescent="0.25">
      <c r="H49" t="s">
        <v>533</v>
      </c>
      <c r="I49" s="200" t="e">
        <f ca="1">ICC(B5:E12,3,1)</f>
        <v>#NAME?</v>
      </c>
      <c r="K49" s="14" t="s">
        <v>548</v>
      </c>
    </row>
    <row r="50" spans="8:11" x14ac:dyDescent="0.25">
      <c r="H50" t="s">
        <v>539</v>
      </c>
      <c r="I50" s="58" t="e">
        <f ca="1">ICC(B5:E12,3,4)</f>
        <v>#NAME?</v>
      </c>
      <c r="K50" s="14" t="s">
        <v>549</v>
      </c>
    </row>
    <row r="52" spans="8:11" x14ac:dyDescent="0.25">
      <c r="H52" t="e">
        <f t="array" aca="1" ref="H52:I54" ca="1">ICC(B5:E12,3,1,TRUE)</f>
        <v>#NAME?</v>
      </c>
      <c r="I52" s="206" t="e">
        <f ca="1"/>
        <v>#NAME?</v>
      </c>
      <c r="K52" t="e">
        <f ca="1">FTEXT(I52)</f>
        <v>#NAME?</v>
      </c>
    </row>
    <row r="53" spans="8:11" x14ac:dyDescent="0.25">
      <c r="H53" t="e">
        <f ca="1"/>
        <v>#NAME?</v>
      </c>
      <c r="I53" s="78" t="e">
        <f ca="1"/>
        <v>#NAME?</v>
      </c>
    </row>
    <row r="54" spans="8:11" x14ac:dyDescent="0.25">
      <c r="H54" t="e">
        <f ca="1"/>
        <v>#NAME?</v>
      </c>
      <c r="I54" s="58" t="e">
        <f ca="1"/>
        <v>#NAME?</v>
      </c>
    </row>
    <row r="56" spans="8:11" x14ac:dyDescent="0.25">
      <c r="H56" t="e">
        <f t="array" aca="1" ref="H56:I58" ca="1">ICC(B5:E12,3,4,TRUE)</f>
        <v>#NAME?</v>
      </c>
      <c r="I56" s="206" t="e">
        <f ca="1"/>
        <v>#NAME?</v>
      </c>
      <c r="K56" t="e">
        <f ca="1">FTEXT(I56)</f>
        <v>#NAME?</v>
      </c>
    </row>
    <row r="57" spans="8:11" x14ac:dyDescent="0.25">
      <c r="H57" t="e">
        <f ca="1"/>
        <v>#NAME?</v>
      </c>
      <c r="I57" s="78" t="e">
        <f ca="1"/>
        <v>#NAME?</v>
      </c>
    </row>
    <row r="58" spans="8:11" x14ac:dyDescent="0.25">
      <c r="H58" t="e">
        <f ca="1"/>
        <v>#NAME?</v>
      </c>
      <c r="I58" s="58" t="e">
        <f ca="1"/>
        <v>#NAME?</v>
      </c>
    </row>
  </sheetData>
  <mergeCells count="1">
    <mergeCell ref="B3:E3"/>
  </mergeCells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T151"/>
  <sheetViews>
    <sheetView workbookViewId="0"/>
  </sheetViews>
  <sheetFormatPr defaultRowHeight="15" x14ac:dyDescent="0.25"/>
  <cols>
    <col min="1" max="1" width="4.28515625" customWidth="1"/>
    <col min="2" max="20" width="7.5703125" customWidth="1"/>
  </cols>
  <sheetData>
    <row r="1" spans="1:20" x14ac:dyDescent="0.25">
      <c r="A1" s="1" t="s">
        <v>54</v>
      </c>
    </row>
    <row r="3" spans="1:20" x14ac:dyDescent="0.25">
      <c r="B3" t="s">
        <v>17</v>
      </c>
      <c r="C3" s="13">
        <v>0.1</v>
      </c>
    </row>
    <row r="4" spans="1:20" x14ac:dyDescent="0.25">
      <c r="B4" t="s">
        <v>55</v>
      </c>
    </row>
    <row r="5" spans="1:20" x14ac:dyDescent="0.25">
      <c r="A5" s="12" t="s">
        <v>37</v>
      </c>
      <c r="B5">
        <v>2</v>
      </c>
      <c r="C5">
        <v>3</v>
      </c>
      <c r="D5">
        <v>4</v>
      </c>
      <c r="E5">
        <v>5</v>
      </c>
      <c r="F5">
        <v>6</v>
      </c>
      <c r="G5">
        <v>7</v>
      </c>
      <c r="H5">
        <v>8</v>
      </c>
      <c r="I5">
        <v>9</v>
      </c>
      <c r="J5">
        <v>10</v>
      </c>
      <c r="K5">
        <v>11</v>
      </c>
      <c r="L5">
        <v>12</v>
      </c>
      <c r="M5">
        <v>13</v>
      </c>
      <c r="N5">
        <v>14</v>
      </c>
      <c r="O5">
        <v>15</v>
      </c>
      <c r="P5">
        <v>16</v>
      </c>
      <c r="Q5">
        <v>17</v>
      </c>
      <c r="R5">
        <v>18</v>
      </c>
      <c r="S5">
        <v>19</v>
      </c>
      <c r="T5">
        <v>20</v>
      </c>
    </row>
    <row r="6" spans="1:20" x14ac:dyDescent="0.25">
      <c r="A6">
        <v>1</v>
      </c>
      <c r="B6" s="258">
        <v>8.9290000000000003</v>
      </c>
      <c r="C6" s="217">
        <v>13.436999999999999</v>
      </c>
      <c r="D6" s="217">
        <v>16.358000000000001</v>
      </c>
      <c r="E6" s="217">
        <v>18.488</v>
      </c>
      <c r="F6" s="217">
        <v>20.149999999999999</v>
      </c>
      <c r="G6" s="217">
        <v>21.504000000000001</v>
      </c>
      <c r="H6" s="217">
        <v>22.641999999999999</v>
      </c>
      <c r="I6" s="217">
        <v>23.620999999999999</v>
      </c>
      <c r="J6" s="217">
        <v>24.477</v>
      </c>
      <c r="K6" s="217">
        <v>25.236999999999998</v>
      </c>
      <c r="L6" s="217">
        <v>25.917999999999999</v>
      </c>
      <c r="M6" s="217">
        <v>26.536000000000001</v>
      </c>
      <c r="N6" s="217">
        <v>27.1</v>
      </c>
      <c r="O6" s="217">
        <v>27.617999999999999</v>
      </c>
      <c r="P6" s="217">
        <v>28.097000000000001</v>
      </c>
      <c r="Q6" s="217">
        <v>28.542000000000002</v>
      </c>
      <c r="R6" s="217">
        <v>28.957999999999998</v>
      </c>
      <c r="S6" s="217">
        <v>29.347000000000001</v>
      </c>
      <c r="T6" s="259">
        <v>29.713000000000001</v>
      </c>
    </row>
    <row r="7" spans="1:20" x14ac:dyDescent="0.25">
      <c r="A7">
        <v>2</v>
      </c>
      <c r="B7" s="166">
        <v>4.1289999999999996</v>
      </c>
      <c r="C7" s="31">
        <v>5.7329999999999997</v>
      </c>
      <c r="D7" s="31">
        <v>6.7720000000000002</v>
      </c>
      <c r="E7" s="31">
        <v>7.5380000000000003</v>
      </c>
      <c r="F7" s="31">
        <v>8.1389999999999993</v>
      </c>
      <c r="G7" s="31">
        <v>8.6329999999999991</v>
      </c>
      <c r="H7" s="31">
        <v>9.0489999999999995</v>
      </c>
      <c r="I7" s="31">
        <v>9.4090000000000007</v>
      </c>
      <c r="J7" s="31">
        <v>9.7249999999999996</v>
      </c>
      <c r="K7" s="31">
        <v>10.006</v>
      </c>
      <c r="L7" s="31">
        <v>10.259</v>
      </c>
      <c r="M7" s="31">
        <v>10.488</v>
      </c>
      <c r="N7" s="31">
        <v>10.698</v>
      </c>
      <c r="O7" s="31">
        <v>10.891</v>
      </c>
      <c r="P7" s="31">
        <v>11.07</v>
      </c>
      <c r="Q7" s="31">
        <v>11.237</v>
      </c>
      <c r="R7" s="31">
        <v>11.391999999999999</v>
      </c>
      <c r="S7" s="31">
        <v>11.538</v>
      </c>
      <c r="T7" s="167">
        <v>11.676</v>
      </c>
    </row>
    <row r="8" spans="1:20" x14ac:dyDescent="0.25">
      <c r="A8">
        <v>3</v>
      </c>
      <c r="B8" s="166">
        <v>3.3279999999999998</v>
      </c>
      <c r="C8" s="31">
        <v>4.4669999999999996</v>
      </c>
      <c r="D8" s="31">
        <v>5.1989999999999998</v>
      </c>
      <c r="E8" s="31">
        <v>5.7380000000000004</v>
      </c>
      <c r="F8" s="31">
        <v>6.1619999999999999</v>
      </c>
      <c r="G8" s="31">
        <v>6.5110000000000001</v>
      </c>
      <c r="H8" s="31">
        <v>6.806</v>
      </c>
      <c r="I8" s="31">
        <v>7.0620000000000003</v>
      </c>
      <c r="J8" s="31">
        <v>7.2869999999999999</v>
      </c>
      <c r="K8" s="31">
        <v>7.4870000000000001</v>
      </c>
      <c r="L8" s="31">
        <v>7.6669999999999998</v>
      </c>
      <c r="M8" s="31">
        <v>7.8310000000000004</v>
      </c>
      <c r="N8" s="31">
        <v>7.9820000000000002</v>
      </c>
      <c r="O8" s="31">
        <v>8.1199999999999992</v>
      </c>
      <c r="P8" s="31">
        <v>8.2479999999999993</v>
      </c>
      <c r="Q8" s="31">
        <v>8.3680000000000003</v>
      </c>
      <c r="R8" s="31">
        <v>8.4789999999999992</v>
      </c>
      <c r="S8" s="31">
        <v>8.5839999999999996</v>
      </c>
      <c r="T8" s="167">
        <v>8.6829999999999998</v>
      </c>
    </row>
    <row r="9" spans="1:20" x14ac:dyDescent="0.25">
      <c r="A9">
        <v>4</v>
      </c>
      <c r="B9" s="166">
        <v>3.0150000000000001</v>
      </c>
      <c r="C9" s="31">
        <v>3.976</v>
      </c>
      <c r="D9" s="31">
        <v>4.5860000000000003</v>
      </c>
      <c r="E9" s="31">
        <v>5.0350000000000001</v>
      </c>
      <c r="F9" s="31">
        <v>5.3879999999999999</v>
      </c>
      <c r="G9" s="31">
        <v>5.6790000000000003</v>
      </c>
      <c r="H9" s="31">
        <v>5.9260000000000002</v>
      </c>
      <c r="I9" s="31">
        <v>6.1390000000000002</v>
      </c>
      <c r="J9" s="31">
        <v>6.327</v>
      </c>
      <c r="K9" s="31">
        <v>6.4939999999999998</v>
      </c>
      <c r="L9" s="31">
        <v>6.6449999999999996</v>
      </c>
      <c r="M9" s="31">
        <v>6.7830000000000004</v>
      </c>
      <c r="N9" s="31">
        <v>6.9089999999999998</v>
      </c>
      <c r="O9" s="31">
        <v>7.0250000000000004</v>
      </c>
      <c r="P9" s="31">
        <v>7.1319999999999997</v>
      </c>
      <c r="Q9" s="31">
        <v>7.2329999999999997</v>
      </c>
      <c r="R9" s="31">
        <v>7.3259999999999996</v>
      </c>
      <c r="S9" s="31">
        <v>7.4139999999999997</v>
      </c>
      <c r="T9" s="167">
        <v>7.4969999999999999</v>
      </c>
    </row>
    <row r="10" spans="1:20" x14ac:dyDescent="0.25">
      <c r="A10">
        <v>5</v>
      </c>
      <c r="B10" s="166">
        <v>2.85</v>
      </c>
      <c r="C10" s="31">
        <v>3.7170000000000001</v>
      </c>
      <c r="D10" s="31">
        <v>4.2640000000000002</v>
      </c>
      <c r="E10" s="31">
        <v>4.6639999999999997</v>
      </c>
      <c r="F10" s="31">
        <v>4.9790000000000001</v>
      </c>
      <c r="G10" s="31">
        <v>5.2380000000000004</v>
      </c>
      <c r="H10" s="31">
        <v>5.4580000000000002</v>
      </c>
      <c r="I10" s="31">
        <v>5.6479999999999997</v>
      </c>
      <c r="J10" s="31">
        <v>5.8159999999999998</v>
      </c>
      <c r="K10" s="31">
        <v>5.9649999999999999</v>
      </c>
      <c r="L10" s="31">
        <v>6.1</v>
      </c>
      <c r="M10" s="31">
        <v>6.2229999999999999</v>
      </c>
      <c r="N10" s="31">
        <v>6.3360000000000003</v>
      </c>
      <c r="O10" s="31">
        <v>6.4390000000000001</v>
      </c>
      <c r="P10" s="31">
        <v>6.5359999999999996</v>
      </c>
      <c r="Q10" s="31">
        <v>6.6260000000000003</v>
      </c>
      <c r="R10" s="31">
        <v>6.71</v>
      </c>
      <c r="S10" s="31">
        <v>6.7880000000000003</v>
      </c>
      <c r="T10" s="167">
        <v>6.8630000000000004</v>
      </c>
    </row>
    <row r="11" spans="1:20" x14ac:dyDescent="0.25">
      <c r="A11">
        <v>6</v>
      </c>
      <c r="B11" s="166">
        <v>2.7480000000000002</v>
      </c>
      <c r="C11" s="31">
        <v>3.5579999999999998</v>
      </c>
      <c r="D11" s="31">
        <v>4.0650000000000004</v>
      </c>
      <c r="E11" s="31">
        <v>4.4349999999999996</v>
      </c>
      <c r="F11" s="31">
        <v>4.726</v>
      </c>
      <c r="G11" s="31">
        <v>4.9660000000000002</v>
      </c>
      <c r="H11" s="31">
        <v>5.1680000000000001</v>
      </c>
      <c r="I11" s="31">
        <v>5.3440000000000003</v>
      </c>
      <c r="J11" s="31">
        <v>5.4989999999999997</v>
      </c>
      <c r="K11" s="31">
        <v>5.6369999999999996</v>
      </c>
      <c r="L11" s="31">
        <v>5.7619999999999996</v>
      </c>
      <c r="M11" s="31">
        <v>5.875</v>
      </c>
      <c r="N11" s="31">
        <v>5.9790000000000001</v>
      </c>
      <c r="O11" s="31">
        <v>6.0750000000000002</v>
      </c>
      <c r="P11" s="31">
        <v>6.1639999999999997</v>
      </c>
      <c r="Q11" s="31">
        <v>6.2469999999999999</v>
      </c>
      <c r="R11" s="31">
        <v>6.3250000000000002</v>
      </c>
      <c r="S11" s="31">
        <v>6.3979999999999997</v>
      </c>
      <c r="T11" s="167">
        <v>6.4660000000000002</v>
      </c>
    </row>
    <row r="12" spans="1:20" x14ac:dyDescent="0.25">
      <c r="A12">
        <v>7</v>
      </c>
      <c r="B12" s="166">
        <v>2.6789999999999998</v>
      </c>
      <c r="C12" s="31">
        <v>3.4510000000000001</v>
      </c>
      <c r="D12" s="31">
        <v>3.931</v>
      </c>
      <c r="E12" s="31">
        <v>4.28</v>
      </c>
      <c r="F12" s="31">
        <v>4.5549999999999997</v>
      </c>
      <c r="G12" s="31">
        <v>4.78</v>
      </c>
      <c r="H12" s="31">
        <v>4.9710000000000001</v>
      </c>
      <c r="I12" s="31">
        <v>5.1369999999999996</v>
      </c>
      <c r="J12" s="31">
        <v>5.2830000000000004</v>
      </c>
      <c r="K12" s="31">
        <v>5.4130000000000003</v>
      </c>
      <c r="L12" s="31">
        <v>5.53</v>
      </c>
      <c r="M12" s="31">
        <v>5.6369999999999996</v>
      </c>
      <c r="N12" s="31">
        <v>5.7350000000000003</v>
      </c>
      <c r="O12" s="31">
        <v>5.8259999999999996</v>
      </c>
      <c r="P12" s="31">
        <v>5.91</v>
      </c>
      <c r="Q12" s="31">
        <v>5.9880000000000004</v>
      </c>
      <c r="R12" s="31">
        <v>6.0609999999999999</v>
      </c>
      <c r="S12" s="31">
        <v>6.13</v>
      </c>
      <c r="T12" s="167">
        <v>6.1950000000000003</v>
      </c>
    </row>
    <row r="13" spans="1:20" x14ac:dyDescent="0.25">
      <c r="A13">
        <v>8</v>
      </c>
      <c r="B13" s="166">
        <v>2.63</v>
      </c>
      <c r="C13" s="31">
        <v>3.3740000000000001</v>
      </c>
      <c r="D13" s="31">
        <v>3.8340000000000001</v>
      </c>
      <c r="E13" s="31">
        <v>4.1689999999999996</v>
      </c>
      <c r="F13" s="31">
        <v>4.431</v>
      </c>
      <c r="G13" s="31">
        <v>4.6459999999999999</v>
      </c>
      <c r="H13" s="31">
        <v>4.8289999999999997</v>
      </c>
      <c r="I13" s="31">
        <v>4.9870000000000001</v>
      </c>
      <c r="J13" s="31">
        <v>5.1260000000000003</v>
      </c>
      <c r="K13" s="31">
        <v>5.25</v>
      </c>
      <c r="L13" s="31">
        <v>5.3620000000000001</v>
      </c>
      <c r="M13" s="31">
        <v>5.4640000000000004</v>
      </c>
      <c r="N13" s="31">
        <v>5.5579999999999998</v>
      </c>
      <c r="O13" s="31">
        <v>5.6440000000000001</v>
      </c>
      <c r="P13" s="31">
        <v>5.7240000000000002</v>
      </c>
      <c r="Q13" s="31">
        <v>5.7990000000000004</v>
      </c>
      <c r="R13" s="31">
        <v>5.8689999999999998</v>
      </c>
      <c r="S13" s="31">
        <v>5.9349999999999996</v>
      </c>
      <c r="T13" s="167">
        <v>5.9969999999999999</v>
      </c>
    </row>
    <row r="14" spans="1:20" x14ac:dyDescent="0.25">
      <c r="A14">
        <v>9</v>
      </c>
      <c r="B14" s="166">
        <v>2.5920000000000001</v>
      </c>
      <c r="C14" s="31">
        <v>3.3159999999999998</v>
      </c>
      <c r="D14" s="31">
        <v>3.7610000000000001</v>
      </c>
      <c r="E14" s="31">
        <v>4.0839999999999996</v>
      </c>
      <c r="F14" s="31">
        <v>4.3369999999999997</v>
      </c>
      <c r="G14" s="31">
        <v>4.5449999999999999</v>
      </c>
      <c r="H14" s="31">
        <v>4.7210000000000001</v>
      </c>
      <c r="I14" s="31">
        <v>4.8730000000000002</v>
      </c>
      <c r="J14" s="31">
        <v>5.0069999999999997</v>
      </c>
      <c r="K14" s="31">
        <v>5.1260000000000003</v>
      </c>
      <c r="L14" s="31">
        <v>5.234</v>
      </c>
      <c r="M14" s="31">
        <v>5.3330000000000002</v>
      </c>
      <c r="N14" s="31">
        <v>5.423</v>
      </c>
      <c r="O14" s="31">
        <v>5.5060000000000002</v>
      </c>
      <c r="P14" s="31">
        <v>5.5830000000000002</v>
      </c>
      <c r="Q14" s="31">
        <v>5.6550000000000002</v>
      </c>
      <c r="R14" s="31">
        <v>5.7220000000000004</v>
      </c>
      <c r="S14" s="31">
        <v>5.7859999999999996</v>
      </c>
      <c r="T14" s="167">
        <v>5.8449999999999998</v>
      </c>
    </row>
    <row r="15" spans="1:20" x14ac:dyDescent="0.25">
      <c r="A15">
        <v>10</v>
      </c>
      <c r="B15" s="166">
        <v>2.5630000000000002</v>
      </c>
      <c r="C15" s="31">
        <v>3.27</v>
      </c>
      <c r="D15" s="31">
        <v>3.7040000000000002</v>
      </c>
      <c r="E15" s="31">
        <v>4.0179999999999998</v>
      </c>
      <c r="F15" s="31">
        <v>4.2640000000000002</v>
      </c>
      <c r="G15" s="31">
        <v>4.4649999999999999</v>
      </c>
      <c r="H15" s="31">
        <v>4.6360000000000001</v>
      </c>
      <c r="I15" s="31">
        <v>4.7830000000000004</v>
      </c>
      <c r="J15" s="31">
        <v>4.9130000000000003</v>
      </c>
      <c r="K15" s="31">
        <v>5.0289999999999999</v>
      </c>
      <c r="L15" s="31">
        <v>5.1340000000000003</v>
      </c>
      <c r="M15" s="31">
        <v>5.2290000000000001</v>
      </c>
      <c r="N15" s="31">
        <v>5.3159999999999998</v>
      </c>
      <c r="O15" s="31">
        <v>5.3970000000000002</v>
      </c>
      <c r="P15" s="31">
        <v>5.4720000000000004</v>
      </c>
      <c r="Q15" s="31">
        <v>5.5419999999999998</v>
      </c>
      <c r="R15" s="31">
        <v>5.6070000000000002</v>
      </c>
      <c r="S15" s="31">
        <v>5.6680000000000001</v>
      </c>
      <c r="T15" s="167">
        <v>5.726</v>
      </c>
    </row>
    <row r="16" spans="1:20" x14ac:dyDescent="0.25">
      <c r="A16">
        <v>11</v>
      </c>
      <c r="B16" s="166">
        <v>2.54</v>
      </c>
      <c r="C16" s="31">
        <v>3.234</v>
      </c>
      <c r="D16" s="31">
        <v>3.6579999999999999</v>
      </c>
      <c r="E16" s="31">
        <v>3.9649999999999999</v>
      </c>
      <c r="F16" s="31">
        <v>4.2050000000000001</v>
      </c>
      <c r="G16" s="31">
        <v>4.4009999999999998</v>
      </c>
      <c r="H16" s="31">
        <v>4.5670000000000002</v>
      </c>
      <c r="I16" s="31">
        <v>4.7110000000000003</v>
      </c>
      <c r="J16" s="31">
        <v>4.8380000000000001</v>
      </c>
      <c r="K16" s="31">
        <v>4.9509999999999996</v>
      </c>
      <c r="L16" s="31">
        <v>5.0529999999999999</v>
      </c>
      <c r="M16" s="31">
        <v>5.1449999999999996</v>
      </c>
      <c r="N16" s="31">
        <v>5.2309999999999999</v>
      </c>
      <c r="O16" s="31">
        <v>5.3090000000000002</v>
      </c>
      <c r="P16" s="31">
        <v>5.3819999999999997</v>
      </c>
      <c r="Q16" s="31">
        <v>5.45</v>
      </c>
      <c r="R16" s="31">
        <v>5.5140000000000002</v>
      </c>
      <c r="S16" s="31">
        <v>5.5730000000000004</v>
      </c>
      <c r="T16" s="167">
        <v>5.63</v>
      </c>
    </row>
    <row r="17" spans="1:20" x14ac:dyDescent="0.25">
      <c r="A17">
        <v>12</v>
      </c>
      <c r="B17" s="166">
        <v>2.5209999999999999</v>
      </c>
      <c r="C17" s="31">
        <v>3.2040000000000002</v>
      </c>
      <c r="D17" s="31">
        <v>3.621</v>
      </c>
      <c r="E17" s="31">
        <v>3.9209999999999998</v>
      </c>
      <c r="F17" s="31">
        <v>4.1559999999999997</v>
      </c>
      <c r="G17" s="31">
        <v>4.3490000000000002</v>
      </c>
      <c r="H17" s="31">
        <v>4.5110000000000001</v>
      </c>
      <c r="I17" s="31">
        <v>4.6520000000000001</v>
      </c>
      <c r="J17" s="31">
        <v>4.7759999999999998</v>
      </c>
      <c r="K17" s="31">
        <v>4.8860000000000001</v>
      </c>
      <c r="L17" s="31">
        <v>4.9859999999999998</v>
      </c>
      <c r="M17" s="31">
        <v>5.0759999999999996</v>
      </c>
      <c r="N17" s="31">
        <v>5.16</v>
      </c>
      <c r="O17" s="31">
        <v>5.2359999999999998</v>
      </c>
      <c r="P17" s="31">
        <v>5.3079999999999998</v>
      </c>
      <c r="Q17" s="31">
        <v>5.3739999999999997</v>
      </c>
      <c r="R17" s="31">
        <v>5.4359999999999999</v>
      </c>
      <c r="S17" s="31">
        <v>5.4950000000000001</v>
      </c>
      <c r="T17" s="167">
        <v>5.55</v>
      </c>
    </row>
    <row r="18" spans="1:20" x14ac:dyDescent="0.25">
      <c r="A18">
        <v>13</v>
      </c>
      <c r="B18" s="166">
        <v>2.504</v>
      </c>
      <c r="C18" s="31">
        <v>3.1789999999999998</v>
      </c>
      <c r="D18" s="31">
        <v>3.589</v>
      </c>
      <c r="E18" s="31">
        <v>3.8849999999999998</v>
      </c>
      <c r="F18" s="31">
        <v>4.1159999999999997</v>
      </c>
      <c r="G18" s="31">
        <v>4.3040000000000003</v>
      </c>
      <c r="H18" s="31">
        <v>4.4640000000000004</v>
      </c>
      <c r="I18" s="31">
        <v>4.6020000000000003</v>
      </c>
      <c r="J18" s="31">
        <v>4.7240000000000002</v>
      </c>
      <c r="K18" s="31">
        <v>4.8319999999999999</v>
      </c>
      <c r="L18" s="31">
        <v>4.93</v>
      </c>
      <c r="M18" s="31">
        <v>5.0190000000000001</v>
      </c>
      <c r="N18" s="31">
        <v>5.0999999999999996</v>
      </c>
      <c r="O18" s="31">
        <v>5.1749999999999998</v>
      </c>
      <c r="P18" s="31">
        <v>5.2450000000000001</v>
      </c>
      <c r="Q18" s="31">
        <v>5.31</v>
      </c>
      <c r="R18" s="31">
        <v>5.3710000000000004</v>
      </c>
      <c r="S18" s="31">
        <v>5.4290000000000003</v>
      </c>
      <c r="T18" s="167">
        <v>5.4829999999999997</v>
      </c>
    </row>
    <row r="19" spans="1:20" x14ac:dyDescent="0.25">
      <c r="A19">
        <v>14</v>
      </c>
      <c r="B19" s="166">
        <v>2.4910000000000001</v>
      </c>
      <c r="C19" s="31">
        <v>3.1579999999999999</v>
      </c>
      <c r="D19" s="31">
        <v>3.5630000000000002</v>
      </c>
      <c r="E19" s="31">
        <v>3.8540000000000001</v>
      </c>
      <c r="F19" s="31">
        <v>4.0810000000000004</v>
      </c>
      <c r="G19" s="31">
        <v>4.2670000000000003</v>
      </c>
      <c r="H19" s="31">
        <v>4.4240000000000004</v>
      </c>
      <c r="I19" s="31">
        <v>4.5599999999999996</v>
      </c>
      <c r="J19" s="31">
        <v>4.6790000000000003</v>
      </c>
      <c r="K19" s="31">
        <v>4.7859999999999996</v>
      </c>
      <c r="L19" s="31">
        <v>4.8819999999999997</v>
      </c>
      <c r="M19" s="31">
        <v>4.9690000000000003</v>
      </c>
      <c r="N19" s="31">
        <v>5.05</v>
      </c>
      <c r="O19" s="31">
        <v>5.1239999999999997</v>
      </c>
      <c r="P19" s="31">
        <v>5.1920000000000002</v>
      </c>
      <c r="Q19" s="31">
        <v>5.2560000000000002</v>
      </c>
      <c r="R19" s="31">
        <v>5.3159999999999998</v>
      </c>
      <c r="S19" s="31">
        <v>5.3719999999999999</v>
      </c>
      <c r="T19" s="167">
        <v>5.4260000000000002</v>
      </c>
    </row>
    <row r="20" spans="1:20" x14ac:dyDescent="0.25">
      <c r="A20">
        <v>15</v>
      </c>
      <c r="B20" s="166">
        <v>2.4790000000000001</v>
      </c>
      <c r="C20" s="31">
        <v>3.14</v>
      </c>
      <c r="D20" s="31">
        <v>3.54</v>
      </c>
      <c r="E20" s="31">
        <v>3.8279999999999998</v>
      </c>
      <c r="F20" s="31">
        <v>4.0519999999999996</v>
      </c>
      <c r="G20" s="31">
        <v>4.2350000000000003</v>
      </c>
      <c r="H20" s="31">
        <v>4.3899999999999997</v>
      </c>
      <c r="I20" s="31">
        <v>4.524</v>
      </c>
      <c r="J20" s="31">
        <v>4.641</v>
      </c>
      <c r="K20" s="31">
        <v>4.7460000000000004</v>
      </c>
      <c r="L20" s="31">
        <v>4.8410000000000002</v>
      </c>
      <c r="M20" s="31">
        <v>4.9269999999999996</v>
      </c>
      <c r="N20" s="31">
        <v>5.0060000000000002</v>
      </c>
      <c r="O20" s="31">
        <v>5.0789999999999997</v>
      </c>
      <c r="P20" s="31">
        <v>5.1459999999999999</v>
      </c>
      <c r="Q20" s="31">
        <v>5.2089999999999996</v>
      </c>
      <c r="R20" s="31">
        <v>5.2679999999999998</v>
      </c>
      <c r="S20" s="31">
        <v>5.3239999999999998</v>
      </c>
      <c r="T20" s="167">
        <v>5.3760000000000003</v>
      </c>
    </row>
    <row r="21" spans="1:20" x14ac:dyDescent="0.25">
      <c r="A21">
        <v>16</v>
      </c>
      <c r="B21" s="166">
        <v>2.4689999999999999</v>
      </c>
      <c r="C21" s="31">
        <v>3.1240000000000001</v>
      </c>
      <c r="D21" s="31">
        <v>3.52</v>
      </c>
      <c r="E21" s="31">
        <v>3.8039999999999998</v>
      </c>
      <c r="F21" s="31">
        <v>4.0259999999999998</v>
      </c>
      <c r="G21" s="31">
        <v>4.2069999999999999</v>
      </c>
      <c r="H21" s="31">
        <v>4.3600000000000003</v>
      </c>
      <c r="I21" s="31">
        <v>4.492</v>
      </c>
      <c r="J21" s="31">
        <v>4.6079999999999997</v>
      </c>
      <c r="K21" s="31">
        <v>4.7119999999999997</v>
      </c>
      <c r="L21" s="31">
        <v>4.8049999999999997</v>
      </c>
      <c r="M21" s="31">
        <v>4.8899999999999997</v>
      </c>
      <c r="N21" s="31">
        <v>4.968</v>
      </c>
      <c r="O21" s="31">
        <v>5.04</v>
      </c>
      <c r="P21" s="31">
        <v>5.1059999999999999</v>
      </c>
      <c r="Q21" s="31">
        <v>5.1689999999999996</v>
      </c>
      <c r="R21" s="31">
        <v>5.2270000000000003</v>
      </c>
      <c r="S21" s="31">
        <v>5.282</v>
      </c>
      <c r="T21" s="167">
        <v>5.3330000000000002</v>
      </c>
    </row>
    <row r="22" spans="1:20" x14ac:dyDescent="0.25">
      <c r="A22">
        <v>17</v>
      </c>
      <c r="B22" s="166">
        <v>2.46</v>
      </c>
      <c r="C22" s="31">
        <v>3.11</v>
      </c>
      <c r="D22" s="31">
        <v>3.5030000000000001</v>
      </c>
      <c r="E22" s="31">
        <v>3.7839999999999998</v>
      </c>
      <c r="F22" s="31">
        <v>4.0030000000000001</v>
      </c>
      <c r="G22" s="31">
        <v>4.1820000000000004</v>
      </c>
      <c r="H22" s="31">
        <v>4.3339999999999996</v>
      </c>
      <c r="I22" s="31">
        <v>4.4640000000000004</v>
      </c>
      <c r="J22" s="31">
        <v>4.5789999999999997</v>
      </c>
      <c r="K22" s="31">
        <v>4.681</v>
      </c>
      <c r="L22" s="31">
        <v>4.774</v>
      </c>
      <c r="M22" s="31">
        <v>4.8570000000000002</v>
      </c>
      <c r="N22" s="31">
        <v>4.9340000000000002</v>
      </c>
      <c r="O22" s="31">
        <v>5.0049999999999999</v>
      </c>
      <c r="P22" s="31">
        <v>5.0709999999999997</v>
      </c>
      <c r="Q22" s="31">
        <v>5.133</v>
      </c>
      <c r="R22" s="31">
        <v>5.19</v>
      </c>
      <c r="S22" s="31">
        <v>5.2439999999999998</v>
      </c>
      <c r="T22" s="167">
        <v>5.2949999999999999</v>
      </c>
    </row>
    <row r="23" spans="1:20" x14ac:dyDescent="0.25">
      <c r="A23">
        <v>18</v>
      </c>
      <c r="B23" s="166">
        <v>2.452</v>
      </c>
      <c r="C23" s="31">
        <v>3.0979999999999999</v>
      </c>
      <c r="D23" s="31">
        <v>3.4870000000000001</v>
      </c>
      <c r="E23" s="31">
        <v>3.766</v>
      </c>
      <c r="F23" s="31">
        <v>3.984</v>
      </c>
      <c r="G23" s="31">
        <v>4.1609999999999996</v>
      </c>
      <c r="H23" s="31">
        <v>4.3099999999999996</v>
      </c>
      <c r="I23" s="31">
        <v>4.4400000000000004</v>
      </c>
      <c r="J23" s="31">
        <v>4.5529999999999999</v>
      </c>
      <c r="K23" s="31">
        <v>4.6539999999999999</v>
      </c>
      <c r="L23" s="31">
        <v>4.7460000000000004</v>
      </c>
      <c r="M23" s="31">
        <v>4.8289999999999997</v>
      </c>
      <c r="N23" s="31">
        <v>4.9050000000000002</v>
      </c>
      <c r="O23" s="31">
        <v>4.9749999999999996</v>
      </c>
      <c r="P23" s="31">
        <v>5.04</v>
      </c>
      <c r="Q23" s="31">
        <v>5.101</v>
      </c>
      <c r="R23" s="31">
        <v>5.1580000000000004</v>
      </c>
      <c r="S23" s="31">
        <v>5.2110000000000003</v>
      </c>
      <c r="T23" s="167">
        <v>5.2619999999999996</v>
      </c>
    </row>
    <row r="24" spans="1:20" x14ac:dyDescent="0.25">
      <c r="A24">
        <v>19</v>
      </c>
      <c r="B24" s="166">
        <v>2.4449999999999998</v>
      </c>
      <c r="C24" s="31">
        <v>3.0870000000000002</v>
      </c>
      <c r="D24" s="31">
        <v>3.4740000000000002</v>
      </c>
      <c r="E24" s="31">
        <v>3.7509999999999999</v>
      </c>
      <c r="F24" s="31">
        <v>3.9660000000000002</v>
      </c>
      <c r="G24" s="31">
        <v>4.1420000000000003</v>
      </c>
      <c r="H24" s="31">
        <v>4.29</v>
      </c>
      <c r="I24" s="31">
        <v>4.4180000000000001</v>
      </c>
      <c r="J24" s="31">
        <v>4.53</v>
      </c>
      <c r="K24" s="31">
        <v>4.63</v>
      </c>
      <c r="L24" s="31">
        <v>4.7210000000000001</v>
      </c>
      <c r="M24" s="31">
        <v>4.8029999999999999</v>
      </c>
      <c r="N24" s="31">
        <v>4.8780000000000001</v>
      </c>
      <c r="O24" s="31">
        <v>4.9480000000000004</v>
      </c>
      <c r="P24" s="31">
        <v>5.0119999999999996</v>
      </c>
      <c r="Q24" s="31">
        <v>5.0720000000000001</v>
      </c>
      <c r="R24" s="31">
        <v>5.1289999999999996</v>
      </c>
      <c r="S24" s="31">
        <v>5.1820000000000004</v>
      </c>
      <c r="T24" s="167">
        <v>5.2320000000000002</v>
      </c>
    </row>
    <row r="25" spans="1:20" x14ac:dyDescent="0.25">
      <c r="A25">
        <v>20</v>
      </c>
      <c r="B25" s="166">
        <v>2.4390000000000001</v>
      </c>
      <c r="C25" s="31">
        <v>3.077</v>
      </c>
      <c r="D25" s="31">
        <v>3.4620000000000002</v>
      </c>
      <c r="E25" s="31">
        <v>3.7360000000000002</v>
      </c>
      <c r="F25" s="31">
        <v>3.95</v>
      </c>
      <c r="G25" s="31">
        <v>4.1239999999999997</v>
      </c>
      <c r="H25" s="31">
        <v>4.2709999999999999</v>
      </c>
      <c r="I25" s="31">
        <v>4.3979999999999997</v>
      </c>
      <c r="J25" s="31">
        <v>4.51</v>
      </c>
      <c r="K25" s="31">
        <v>4.609</v>
      </c>
      <c r="L25" s="31">
        <v>4.6989999999999998</v>
      </c>
      <c r="M25" s="31">
        <v>4.78</v>
      </c>
      <c r="N25" s="31">
        <v>4.8550000000000004</v>
      </c>
      <c r="O25" s="31">
        <v>4.923</v>
      </c>
      <c r="P25" s="31">
        <v>4.9870000000000001</v>
      </c>
      <c r="Q25" s="31">
        <v>5.0469999999999997</v>
      </c>
      <c r="R25" s="31">
        <v>5.1029999999999998</v>
      </c>
      <c r="S25" s="31">
        <v>5.1550000000000002</v>
      </c>
      <c r="T25" s="167">
        <v>5.2050000000000001</v>
      </c>
    </row>
    <row r="26" spans="1:20" x14ac:dyDescent="0.25">
      <c r="A26">
        <v>21</v>
      </c>
      <c r="B26" s="166">
        <v>2.4329999999999998</v>
      </c>
      <c r="C26" s="31">
        <v>3.069</v>
      </c>
      <c r="D26" s="31">
        <v>3.4510000000000001</v>
      </c>
      <c r="E26" s="31">
        <v>3.7240000000000002</v>
      </c>
      <c r="F26" s="31">
        <v>3.9359999999999999</v>
      </c>
      <c r="G26" s="31">
        <v>4.109</v>
      </c>
      <c r="H26" s="31">
        <v>4.2549999999999999</v>
      </c>
      <c r="I26" s="31">
        <v>4.38</v>
      </c>
      <c r="J26" s="31">
        <v>4.4909999999999997</v>
      </c>
      <c r="K26" s="31">
        <v>4.59</v>
      </c>
      <c r="L26" s="31">
        <v>4.6779999999999999</v>
      </c>
      <c r="M26" s="31">
        <v>4.7590000000000003</v>
      </c>
      <c r="N26" s="31">
        <v>4.8330000000000002</v>
      </c>
      <c r="O26" s="31">
        <v>4.9009999999999998</v>
      </c>
      <c r="P26" s="31">
        <v>4.9649999999999999</v>
      </c>
      <c r="Q26" s="31">
        <v>5.024</v>
      </c>
      <c r="R26" s="31">
        <v>5.0789999999999997</v>
      </c>
      <c r="S26" s="31">
        <v>5.1310000000000002</v>
      </c>
      <c r="T26" s="167">
        <v>5.18</v>
      </c>
    </row>
    <row r="27" spans="1:20" x14ac:dyDescent="0.25">
      <c r="A27">
        <v>22</v>
      </c>
      <c r="B27" s="166">
        <v>2.4279999999999999</v>
      </c>
      <c r="C27" s="31">
        <v>3.0609999999999999</v>
      </c>
      <c r="D27" s="31">
        <v>3.4409999999999998</v>
      </c>
      <c r="E27" s="31">
        <v>3.7120000000000002</v>
      </c>
      <c r="F27" s="31">
        <v>3.923</v>
      </c>
      <c r="G27" s="31">
        <v>4.0949999999999998</v>
      </c>
      <c r="H27" s="31">
        <v>4.2389999999999999</v>
      </c>
      <c r="I27" s="31">
        <v>4.3639999999999999</v>
      </c>
      <c r="J27" s="31">
        <v>4.4740000000000002</v>
      </c>
      <c r="K27" s="31">
        <v>4.5720000000000001</v>
      </c>
      <c r="L27" s="31">
        <v>4.66</v>
      </c>
      <c r="M27" s="31">
        <v>4.74</v>
      </c>
      <c r="N27" s="31">
        <v>4.8140000000000001</v>
      </c>
      <c r="O27" s="31">
        <v>4.8819999999999997</v>
      </c>
      <c r="P27" s="31">
        <v>4.944</v>
      </c>
      <c r="Q27" s="31">
        <v>5.0030000000000001</v>
      </c>
      <c r="R27" s="31">
        <v>5.0579999999999998</v>
      </c>
      <c r="S27" s="31">
        <v>5.109</v>
      </c>
      <c r="T27" s="167">
        <v>5.1580000000000004</v>
      </c>
    </row>
    <row r="28" spans="1:20" x14ac:dyDescent="0.25">
      <c r="A28">
        <v>23</v>
      </c>
      <c r="B28" s="166">
        <v>2.4239999999999999</v>
      </c>
      <c r="C28" s="31">
        <v>3.0539999999999998</v>
      </c>
      <c r="D28" s="31">
        <v>3.4319999999999999</v>
      </c>
      <c r="E28" s="31">
        <v>3.7010000000000001</v>
      </c>
      <c r="F28" s="31">
        <v>3.911</v>
      </c>
      <c r="G28" s="31">
        <v>4.0819999999999999</v>
      </c>
      <c r="H28" s="31">
        <v>4.226</v>
      </c>
      <c r="I28" s="31">
        <v>4.3499999999999996</v>
      </c>
      <c r="J28" s="31">
        <v>4.4589999999999996</v>
      </c>
      <c r="K28" s="31">
        <v>4.556</v>
      </c>
      <c r="L28" s="31">
        <v>4.6440000000000001</v>
      </c>
      <c r="M28" s="31">
        <v>4.7229999999999999</v>
      </c>
      <c r="N28" s="31">
        <v>4.7960000000000003</v>
      </c>
      <c r="O28" s="31">
        <v>4.8630000000000004</v>
      </c>
      <c r="P28" s="31">
        <v>4.9260000000000002</v>
      </c>
      <c r="Q28" s="31">
        <v>4.984</v>
      </c>
      <c r="R28" s="31">
        <v>5.0380000000000003</v>
      </c>
      <c r="S28" s="31">
        <v>5.0890000000000004</v>
      </c>
      <c r="T28" s="167">
        <v>5.1379999999999999</v>
      </c>
    </row>
    <row r="29" spans="1:20" x14ac:dyDescent="0.25">
      <c r="A29">
        <v>24</v>
      </c>
      <c r="B29" s="166">
        <v>2.42</v>
      </c>
      <c r="C29" s="31">
        <v>3.0470000000000002</v>
      </c>
      <c r="D29" s="31">
        <v>3.423</v>
      </c>
      <c r="E29" s="31">
        <v>3.6920000000000002</v>
      </c>
      <c r="F29" s="31">
        <v>3.9</v>
      </c>
      <c r="G29" s="31">
        <v>4.07</v>
      </c>
      <c r="H29" s="31">
        <v>4.2130000000000001</v>
      </c>
      <c r="I29" s="31">
        <v>4.3360000000000003</v>
      </c>
      <c r="J29" s="31">
        <v>4.4450000000000003</v>
      </c>
      <c r="K29" s="31">
        <v>4.5410000000000004</v>
      </c>
      <c r="L29" s="31">
        <v>4.6280000000000001</v>
      </c>
      <c r="M29" s="31">
        <v>4.7069999999999999</v>
      </c>
      <c r="N29" s="31">
        <v>4.78</v>
      </c>
      <c r="O29" s="31">
        <v>4.8470000000000004</v>
      </c>
      <c r="P29" s="31">
        <v>4.9089999999999998</v>
      </c>
      <c r="Q29" s="31">
        <v>4.9660000000000002</v>
      </c>
      <c r="R29" s="31">
        <v>5.0199999999999996</v>
      </c>
      <c r="S29" s="31">
        <v>5.0709999999999997</v>
      </c>
      <c r="T29" s="167">
        <v>5.1189999999999998</v>
      </c>
    </row>
    <row r="30" spans="1:20" x14ac:dyDescent="0.25">
      <c r="A30">
        <v>25</v>
      </c>
      <c r="B30" s="166">
        <v>2.4159999999999999</v>
      </c>
      <c r="C30" s="31">
        <v>3.0409999999999999</v>
      </c>
      <c r="D30" s="31">
        <v>3.4159999999999999</v>
      </c>
      <c r="E30" s="31">
        <v>3.6829999999999998</v>
      </c>
      <c r="F30" s="31">
        <v>3.89</v>
      </c>
      <c r="G30" s="31">
        <v>4.0590000000000002</v>
      </c>
      <c r="H30" s="31">
        <v>4.2009999999999996</v>
      </c>
      <c r="I30" s="31">
        <v>4.3239999999999998</v>
      </c>
      <c r="J30" s="31">
        <v>4.4320000000000004</v>
      </c>
      <c r="K30" s="31">
        <v>4.5279999999999996</v>
      </c>
      <c r="L30" s="31">
        <v>4.6139999999999999</v>
      </c>
      <c r="M30" s="31">
        <v>4.6929999999999996</v>
      </c>
      <c r="N30" s="31">
        <v>4.7649999999999997</v>
      </c>
      <c r="O30" s="31">
        <v>4.8310000000000004</v>
      </c>
      <c r="P30" s="31">
        <v>4.8929999999999998</v>
      </c>
      <c r="Q30" s="31">
        <v>4.95</v>
      </c>
      <c r="R30" s="31">
        <v>5.0039999999999996</v>
      </c>
      <c r="S30" s="31">
        <v>5.0549999999999997</v>
      </c>
      <c r="T30" s="167">
        <v>5.1020000000000003</v>
      </c>
    </row>
    <row r="31" spans="1:20" x14ac:dyDescent="0.25">
      <c r="A31">
        <v>26</v>
      </c>
      <c r="B31" s="166">
        <v>2.4119999999999999</v>
      </c>
      <c r="C31" s="31">
        <v>3.036</v>
      </c>
      <c r="D31" s="31">
        <v>3.4089999999999998</v>
      </c>
      <c r="E31" s="31">
        <v>3.6749999999999998</v>
      </c>
      <c r="F31" s="31">
        <v>3.8809999999999998</v>
      </c>
      <c r="G31" s="31">
        <v>4.0490000000000004</v>
      </c>
      <c r="H31" s="31">
        <v>4.1909999999999998</v>
      </c>
      <c r="I31" s="31">
        <v>4.3129999999999997</v>
      </c>
      <c r="J31" s="31">
        <v>4.42</v>
      </c>
      <c r="K31" s="31">
        <v>4.5149999999999997</v>
      </c>
      <c r="L31" s="31">
        <v>4.601</v>
      </c>
      <c r="M31" s="31">
        <v>4.68</v>
      </c>
      <c r="N31" s="31">
        <v>4.7510000000000003</v>
      </c>
      <c r="O31" s="31">
        <v>4.8170000000000002</v>
      </c>
      <c r="P31" s="31">
        <v>4.8780000000000001</v>
      </c>
      <c r="Q31" s="31">
        <v>4.9359999999999999</v>
      </c>
      <c r="R31" s="31">
        <v>4.9889999999999999</v>
      </c>
      <c r="S31" s="31">
        <v>5.0389999999999997</v>
      </c>
      <c r="T31" s="167">
        <v>5.0860000000000003</v>
      </c>
    </row>
    <row r="32" spans="1:20" x14ac:dyDescent="0.25">
      <c r="A32">
        <v>27</v>
      </c>
      <c r="B32" s="166">
        <v>2.4089999999999998</v>
      </c>
      <c r="C32" s="31">
        <v>3.03</v>
      </c>
      <c r="D32" s="31">
        <v>3.4020000000000001</v>
      </c>
      <c r="E32" s="31">
        <v>3.6669999999999998</v>
      </c>
      <c r="F32" s="31">
        <v>3.8730000000000002</v>
      </c>
      <c r="G32" s="31">
        <v>4.04</v>
      </c>
      <c r="H32" s="31">
        <v>4.181</v>
      </c>
      <c r="I32" s="31">
        <v>4.3019999999999996</v>
      </c>
      <c r="J32" s="31">
        <v>4.4089999999999998</v>
      </c>
      <c r="K32" s="31">
        <v>4.5039999999999996</v>
      </c>
      <c r="L32" s="31">
        <v>4.59</v>
      </c>
      <c r="M32" s="31">
        <v>4.6669999999999998</v>
      </c>
      <c r="N32" s="31">
        <v>4.7389999999999999</v>
      </c>
      <c r="O32" s="31">
        <v>4.8040000000000003</v>
      </c>
      <c r="P32" s="31">
        <v>4.8650000000000002</v>
      </c>
      <c r="Q32" s="31">
        <v>4.9219999999999997</v>
      </c>
      <c r="R32" s="31">
        <v>4.9749999999999996</v>
      </c>
      <c r="S32" s="31">
        <v>5.0250000000000004</v>
      </c>
      <c r="T32" s="167">
        <v>5.0720000000000001</v>
      </c>
    </row>
    <row r="33" spans="1:20" x14ac:dyDescent="0.25">
      <c r="A33">
        <v>28</v>
      </c>
      <c r="B33" s="166">
        <v>2.4060000000000001</v>
      </c>
      <c r="C33" s="31">
        <v>3.0259999999999998</v>
      </c>
      <c r="D33" s="31">
        <v>3.3959999999999999</v>
      </c>
      <c r="E33" s="31">
        <v>3.66</v>
      </c>
      <c r="F33" s="31">
        <v>3.8650000000000002</v>
      </c>
      <c r="G33" s="31">
        <v>4.032</v>
      </c>
      <c r="H33" s="31">
        <v>4.1719999999999997</v>
      </c>
      <c r="I33" s="31">
        <v>4.2930000000000001</v>
      </c>
      <c r="J33" s="31">
        <v>4.399</v>
      </c>
      <c r="K33" s="31">
        <v>4.4930000000000003</v>
      </c>
      <c r="L33" s="31">
        <v>4.5789999999999997</v>
      </c>
      <c r="M33" s="31">
        <v>4.6559999999999997</v>
      </c>
      <c r="N33" s="31">
        <v>4.7270000000000003</v>
      </c>
      <c r="O33" s="31">
        <v>4.7919999999999998</v>
      </c>
      <c r="P33" s="31">
        <v>4.8529999999999998</v>
      </c>
      <c r="Q33" s="31">
        <v>4.9089999999999998</v>
      </c>
      <c r="R33" s="31">
        <v>4.9619999999999997</v>
      </c>
      <c r="S33" s="31">
        <v>5.0119999999999996</v>
      </c>
      <c r="T33" s="167">
        <v>5.0579999999999998</v>
      </c>
    </row>
    <row r="34" spans="1:20" x14ac:dyDescent="0.25">
      <c r="A34">
        <v>29</v>
      </c>
      <c r="B34" s="166">
        <v>2.403</v>
      </c>
      <c r="C34" s="31">
        <v>3.0209999999999999</v>
      </c>
      <c r="D34" s="31">
        <v>3.391</v>
      </c>
      <c r="E34" s="31">
        <v>3.6539999999999999</v>
      </c>
      <c r="F34" s="31">
        <v>3.8580000000000001</v>
      </c>
      <c r="G34" s="31">
        <v>4.024</v>
      </c>
      <c r="H34" s="31">
        <v>4.1630000000000003</v>
      </c>
      <c r="I34" s="31">
        <v>4.2839999999999998</v>
      </c>
      <c r="J34" s="31">
        <v>4.3890000000000002</v>
      </c>
      <c r="K34" s="31">
        <v>4.484</v>
      </c>
      <c r="L34" s="31">
        <v>4.5679999999999996</v>
      </c>
      <c r="M34" s="31">
        <v>4.6449999999999996</v>
      </c>
      <c r="N34" s="31">
        <v>4.7160000000000002</v>
      </c>
      <c r="O34" s="31">
        <v>4.7809999999999997</v>
      </c>
      <c r="P34" s="31">
        <v>4.8410000000000002</v>
      </c>
      <c r="Q34" s="31">
        <v>4.8970000000000002</v>
      </c>
      <c r="R34" s="31">
        <v>4.95</v>
      </c>
      <c r="S34" s="31">
        <v>4.9989999999999997</v>
      </c>
      <c r="T34" s="167">
        <v>5.0460000000000003</v>
      </c>
    </row>
    <row r="35" spans="1:20" x14ac:dyDescent="0.25">
      <c r="A35">
        <v>30</v>
      </c>
      <c r="B35" s="166">
        <v>2.4</v>
      </c>
      <c r="C35" s="31">
        <v>3.0169999999999999</v>
      </c>
      <c r="D35" s="31">
        <v>3.3860000000000001</v>
      </c>
      <c r="E35" s="31">
        <v>3.6480000000000001</v>
      </c>
      <c r="F35" s="31">
        <v>3.851</v>
      </c>
      <c r="G35" s="31">
        <v>4.016</v>
      </c>
      <c r="H35" s="31">
        <v>4.1550000000000002</v>
      </c>
      <c r="I35" s="31">
        <v>4.2750000000000004</v>
      </c>
      <c r="J35" s="31">
        <v>4.3810000000000002</v>
      </c>
      <c r="K35" s="31">
        <v>4.4740000000000002</v>
      </c>
      <c r="L35" s="31">
        <v>4.5590000000000002</v>
      </c>
      <c r="M35" s="31">
        <v>4.6349999999999998</v>
      </c>
      <c r="N35" s="31">
        <v>4.7060000000000004</v>
      </c>
      <c r="O35" s="31">
        <v>4.7699999999999996</v>
      </c>
      <c r="P35" s="31">
        <v>4.83</v>
      </c>
      <c r="Q35" s="31">
        <v>4.8860000000000001</v>
      </c>
      <c r="R35" s="31">
        <v>4.9390000000000001</v>
      </c>
      <c r="S35" s="31">
        <v>4.9880000000000004</v>
      </c>
      <c r="T35" s="167">
        <v>5.0339999999999998</v>
      </c>
    </row>
    <row r="36" spans="1:20" x14ac:dyDescent="0.25">
      <c r="A36">
        <v>31</v>
      </c>
      <c r="B36" s="166">
        <v>2.3980000000000001</v>
      </c>
      <c r="C36" s="31">
        <v>3.0129999999999999</v>
      </c>
      <c r="D36" s="31">
        <v>3.3809999999999998</v>
      </c>
      <c r="E36" s="31">
        <v>3.6419999999999999</v>
      </c>
      <c r="F36" s="31">
        <v>3.8450000000000002</v>
      </c>
      <c r="G36" s="31">
        <v>4.0090000000000003</v>
      </c>
      <c r="H36" s="31">
        <v>4.1479999999999997</v>
      </c>
      <c r="I36" s="31">
        <v>4.2679999999999998</v>
      </c>
      <c r="J36" s="31">
        <v>4.3719999999999999</v>
      </c>
      <c r="K36" s="31">
        <v>4.4660000000000002</v>
      </c>
      <c r="L36" s="31">
        <v>4.55</v>
      </c>
      <c r="M36" s="31">
        <v>4.6260000000000003</v>
      </c>
      <c r="N36" s="31">
        <v>4.6959999999999997</v>
      </c>
      <c r="O36" s="31">
        <v>4.76</v>
      </c>
      <c r="P36" s="31">
        <v>4.82</v>
      </c>
      <c r="Q36" s="31">
        <v>4.8760000000000003</v>
      </c>
      <c r="R36" s="31">
        <v>4.9279999999999999</v>
      </c>
      <c r="S36" s="31">
        <v>4.9770000000000003</v>
      </c>
      <c r="T36" s="167">
        <v>5.0229999999999997</v>
      </c>
    </row>
    <row r="37" spans="1:20" x14ac:dyDescent="0.25">
      <c r="A37">
        <v>32</v>
      </c>
      <c r="B37" s="166">
        <v>2.3959999999999999</v>
      </c>
      <c r="C37" s="31">
        <v>3.01</v>
      </c>
      <c r="D37" s="31">
        <v>3.3759999999999999</v>
      </c>
      <c r="E37" s="31">
        <v>3.637</v>
      </c>
      <c r="F37" s="31">
        <v>3.839</v>
      </c>
      <c r="G37" s="31">
        <v>4.0030000000000001</v>
      </c>
      <c r="H37" s="31">
        <v>4.141</v>
      </c>
      <c r="I37" s="31">
        <v>4.26</v>
      </c>
      <c r="J37" s="31">
        <v>4.3650000000000002</v>
      </c>
      <c r="K37" s="31">
        <v>4.4580000000000002</v>
      </c>
      <c r="L37" s="31">
        <v>4.5410000000000004</v>
      </c>
      <c r="M37" s="31">
        <v>4.617</v>
      </c>
      <c r="N37" s="31">
        <v>4.6870000000000003</v>
      </c>
      <c r="O37" s="31">
        <v>4.7510000000000003</v>
      </c>
      <c r="P37" s="31">
        <v>4.8109999999999999</v>
      </c>
      <c r="Q37" s="31">
        <v>4.8659999999999997</v>
      </c>
      <c r="R37" s="31">
        <v>4.9180000000000001</v>
      </c>
      <c r="S37" s="31">
        <v>4.9669999999999996</v>
      </c>
      <c r="T37" s="167">
        <v>5.0129999999999999</v>
      </c>
    </row>
    <row r="38" spans="1:20" x14ac:dyDescent="0.25">
      <c r="A38">
        <v>33</v>
      </c>
      <c r="B38" s="166">
        <v>2.3929999999999998</v>
      </c>
      <c r="C38" s="31">
        <v>3.0059999999999998</v>
      </c>
      <c r="D38" s="31">
        <v>3.3719999999999999</v>
      </c>
      <c r="E38" s="31">
        <v>3.6320000000000001</v>
      </c>
      <c r="F38" s="31">
        <v>3.8330000000000002</v>
      </c>
      <c r="G38" s="31">
        <v>3.9969999999999999</v>
      </c>
      <c r="H38" s="31">
        <v>4.1349999999999998</v>
      </c>
      <c r="I38" s="31">
        <v>4.2530000000000001</v>
      </c>
      <c r="J38" s="31">
        <v>4.3570000000000002</v>
      </c>
      <c r="K38" s="31">
        <v>4.45</v>
      </c>
      <c r="L38" s="31">
        <v>4.5330000000000004</v>
      </c>
      <c r="M38" s="31">
        <v>4.609</v>
      </c>
      <c r="N38" s="31">
        <v>4.6790000000000003</v>
      </c>
      <c r="O38" s="31">
        <v>4.7430000000000003</v>
      </c>
      <c r="P38" s="31">
        <v>4.8019999999999996</v>
      </c>
      <c r="Q38" s="31">
        <v>4.8570000000000002</v>
      </c>
      <c r="R38" s="31">
        <v>4.9089999999999998</v>
      </c>
      <c r="S38" s="31">
        <v>4.9569999999999999</v>
      </c>
      <c r="T38" s="167">
        <v>5.0030000000000001</v>
      </c>
    </row>
    <row r="39" spans="1:20" x14ac:dyDescent="0.25">
      <c r="A39">
        <v>34</v>
      </c>
      <c r="B39" s="166">
        <v>2.391</v>
      </c>
      <c r="C39" s="31">
        <v>3.0030000000000001</v>
      </c>
      <c r="D39" s="31">
        <v>3.3679999999999999</v>
      </c>
      <c r="E39" s="31">
        <v>3.6269999999999998</v>
      </c>
      <c r="F39" s="31">
        <v>3.8279999999999998</v>
      </c>
      <c r="G39" s="31">
        <v>3.9910000000000001</v>
      </c>
      <c r="H39" s="31">
        <v>4.1289999999999996</v>
      </c>
      <c r="I39" s="31">
        <v>4.2469999999999999</v>
      </c>
      <c r="J39" s="31">
        <v>4.351</v>
      </c>
      <c r="K39" s="31">
        <v>4.4429999999999996</v>
      </c>
      <c r="L39" s="31">
        <v>4.5259999999999998</v>
      </c>
      <c r="M39" s="31">
        <v>4.6020000000000003</v>
      </c>
      <c r="N39" s="31">
        <v>4.6710000000000003</v>
      </c>
      <c r="O39" s="31">
        <v>4.734</v>
      </c>
      <c r="P39" s="31">
        <v>4.7939999999999996</v>
      </c>
      <c r="Q39" s="31">
        <v>4.8490000000000002</v>
      </c>
      <c r="R39" s="31">
        <v>4.9000000000000004</v>
      </c>
      <c r="S39" s="31">
        <v>4.9489999999999998</v>
      </c>
      <c r="T39" s="167">
        <v>4.9939999999999998</v>
      </c>
    </row>
    <row r="40" spans="1:20" x14ac:dyDescent="0.25">
      <c r="A40">
        <v>35</v>
      </c>
      <c r="B40" s="166">
        <v>2.3889999999999998</v>
      </c>
      <c r="C40" s="31">
        <v>3</v>
      </c>
      <c r="D40" s="31">
        <v>3.3639999999999999</v>
      </c>
      <c r="E40" s="31">
        <v>3.6230000000000002</v>
      </c>
      <c r="F40" s="31">
        <v>3.823</v>
      </c>
      <c r="G40" s="31">
        <v>3.9860000000000002</v>
      </c>
      <c r="H40" s="31">
        <v>4.1230000000000002</v>
      </c>
      <c r="I40" s="31">
        <v>4.2409999999999997</v>
      </c>
      <c r="J40" s="31">
        <v>4.3440000000000003</v>
      </c>
      <c r="K40" s="31">
        <v>4.4359999999999999</v>
      </c>
      <c r="L40" s="31">
        <v>4.5190000000000001</v>
      </c>
      <c r="M40" s="31">
        <v>4.5940000000000003</v>
      </c>
      <c r="N40" s="31">
        <v>4.6630000000000003</v>
      </c>
      <c r="O40" s="31">
        <v>4.7270000000000003</v>
      </c>
      <c r="P40" s="31">
        <v>4.7859999999999996</v>
      </c>
      <c r="Q40" s="31">
        <v>4.8410000000000002</v>
      </c>
      <c r="R40" s="31">
        <v>4.8920000000000003</v>
      </c>
      <c r="S40" s="31">
        <v>4.9400000000000004</v>
      </c>
      <c r="T40" s="167">
        <v>4.9859999999999998</v>
      </c>
    </row>
    <row r="41" spans="1:20" x14ac:dyDescent="0.25">
      <c r="A41">
        <v>36</v>
      </c>
      <c r="B41" s="166">
        <v>2.3879999999999999</v>
      </c>
      <c r="C41" s="31">
        <v>2.9980000000000002</v>
      </c>
      <c r="D41" s="31">
        <v>3.3610000000000002</v>
      </c>
      <c r="E41" s="31">
        <v>3.6190000000000002</v>
      </c>
      <c r="F41" s="31">
        <v>3.819</v>
      </c>
      <c r="G41" s="31">
        <v>3.9809999999999999</v>
      </c>
      <c r="H41" s="31">
        <v>4.117</v>
      </c>
      <c r="I41" s="31">
        <v>4.2350000000000003</v>
      </c>
      <c r="J41" s="31">
        <v>4.3380000000000001</v>
      </c>
      <c r="K41" s="31">
        <v>4.43</v>
      </c>
      <c r="L41" s="31">
        <v>4.5119999999999996</v>
      </c>
      <c r="M41" s="31">
        <v>4.5880000000000001</v>
      </c>
      <c r="N41" s="31">
        <v>4.6559999999999997</v>
      </c>
      <c r="O41" s="31">
        <v>4.72</v>
      </c>
      <c r="P41" s="31">
        <v>4.7779999999999996</v>
      </c>
      <c r="Q41" s="31">
        <v>4.8330000000000002</v>
      </c>
      <c r="R41" s="31">
        <v>4.8840000000000003</v>
      </c>
      <c r="S41" s="31">
        <v>4.9320000000000004</v>
      </c>
      <c r="T41" s="167">
        <v>4.9779999999999998</v>
      </c>
    </row>
    <row r="42" spans="1:20" x14ac:dyDescent="0.25">
      <c r="A42">
        <v>37</v>
      </c>
      <c r="B42" s="166">
        <v>2.3860000000000001</v>
      </c>
      <c r="C42" s="31">
        <v>2.9950000000000001</v>
      </c>
      <c r="D42" s="31">
        <v>3.3570000000000002</v>
      </c>
      <c r="E42" s="31">
        <v>3.6150000000000002</v>
      </c>
      <c r="F42" s="31">
        <v>3.8140000000000001</v>
      </c>
      <c r="G42" s="31">
        <v>3.976</v>
      </c>
      <c r="H42" s="31">
        <v>4.1120000000000001</v>
      </c>
      <c r="I42" s="31">
        <v>4.2300000000000004</v>
      </c>
      <c r="J42" s="31">
        <v>4.3319999999999999</v>
      </c>
      <c r="K42" s="31">
        <v>4.4240000000000004</v>
      </c>
      <c r="L42" s="31">
        <v>4.5060000000000002</v>
      </c>
      <c r="M42" s="31">
        <v>4.5810000000000004</v>
      </c>
      <c r="N42" s="31">
        <v>4.6500000000000004</v>
      </c>
      <c r="O42" s="31">
        <v>4.7130000000000001</v>
      </c>
      <c r="P42" s="31">
        <v>4.7709999999999999</v>
      </c>
      <c r="Q42" s="31">
        <v>4.8259999999999996</v>
      </c>
      <c r="R42" s="31">
        <v>4.8769999999999998</v>
      </c>
      <c r="S42" s="31">
        <v>4.9249999999999998</v>
      </c>
      <c r="T42" s="167">
        <v>4.97</v>
      </c>
    </row>
    <row r="43" spans="1:20" x14ac:dyDescent="0.25">
      <c r="A43">
        <v>38</v>
      </c>
      <c r="B43" s="166">
        <v>2.3839999999999999</v>
      </c>
      <c r="C43" s="31">
        <v>2.992</v>
      </c>
      <c r="D43" s="31">
        <v>3.3540000000000001</v>
      </c>
      <c r="E43" s="31">
        <v>3.6110000000000002</v>
      </c>
      <c r="F43" s="31">
        <v>3.81</v>
      </c>
      <c r="G43" s="31">
        <v>3.972</v>
      </c>
      <c r="H43" s="31">
        <v>4.1070000000000002</v>
      </c>
      <c r="I43" s="31">
        <v>4.2240000000000002</v>
      </c>
      <c r="J43" s="31">
        <v>4.327</v>
      </c>
      <c r="K43" s="31">
        <v>4.4180000000000001</v>
      </c>
      <c r="L43" s="31">
        <v>4.5</v>
      </c>
      <c r="M43" s="31">
        <v>4.5750000000000002</v>
      </c>
      <c r="N43" s="31">
        <v>4.6429999999999998</v>
      </c>
      <c r="O43" s="31">
        <v>4.7060000000000004</v>
      </c>
      <c r="P43" s="31">
        <v>4.7649999999999997</v>
      </c>
      <c r="Q43" s="31">
        <v>4.819</v>
      </c>
      <c r="R43" s="31">
        <v>4.87</v>
      </c>
      <c r="S43" s="31">
        <v>4.9180000000000001</v>
      </c>
      <c r="T43" s="167">
        <v>4.9630000000000001</v>
      </c>
    </row>
    <row r="44" spans="1:20" x14ac:dyDescent="0.25">
      <c r="A44">
        <v>39</v>
      </c>
      <c r="B44" s="166">
        <v>2.383</v>
      </c>
      <c r="C44" s="31">
        <v>2.99</v>
      </c>
      <c r="D44" s="31">
        <v>3.351</v>
      </c>
      <c r="E44" s="31">
        <v>3.6080000000000001</v>
      </c>
      <c r="F44" s="31">
        <v>3.806</v>
      </c>
      <c r="G44" s="31">
        <v>3.9670000000000001</v>
      </c>
      <c r="H44" s="31">
        <v>4.1029999999999998</v>
      </c>
      <c r="I44" s="31">
        <v>4.22</v>
      </c>
      <c r="J44" s="31">
        <v>4.3220000000000001</v>
      </c>
      <c r="K44" s="31">
        <v>4.4130000000000003</v>
      </c>
      <c r="L44" s="31">
        <v>4.4950000000000001</v>
      </c>
      <c r="M44" s="31">
        <v>4.569</v>
      </c>
      <c r="N44" s="31">
        <v>4.6369999999999996</v>
      </c>
      <c r="O44" s="31">
        <v>4.7</v>
      </c>
      <c r="P44" s="31">
        <v>4.758</v>
      </c>
      <c r="Q44" s="31">
        <v>4.8120000000000003</v>
      </c>
      <c r="R44" s="31">
        <v>4.8630000000000004</v>
      </c>
      <c r="S44" s="31">
        <v>4.9109999999999996</v>
      </c>
      <c r="T44" s="167">
        <v>4.9560000000000004</v>
      </c>
    </row>
    <row r="45" spans="1:20" x14ac:dyDescent="0.25">
      <c r="A45">
        <v>40</v>
      </c>
      <c r="B45" s="166">
        <v>2.3809999999999998</v>
      </c>
      <c r="C45" s="31">
        <v>2.988</v>
      </c>
      <c r="D45" s="31">
        <v>3.3479999999999999</v>
      </c>
      <c r="E45" s="31">
        <v>3.605</v>
      </c>
      <c r="F45" s="31">
        <v>3.802</v>
      </c>
      <c r="G45" s="31">
        <v>3.9630000000000001</v>
      </c>
      <c r="H45" s="31">
        <v>4.0990000000000002</v>
      </c>
      <c r="I45" s="31">
        <v>4.2149999999999999</v>
      </c>
      <c r="J45" s="31">
        <v>4.3170000000000002</v>
      </c>
      <c r="K45" s="31">
        <v>4.4080000000000004</v>
      </c>
      <c r="L45" s="31">
        <v>4.49</v>
      </c>
      <c r="M45" s="31">
        <v>4.5640000000000001</v>
      </c>
      <c r="N45" s="31">
        <v>4.6319999999999997</v>
      </c>
      <c r="O45" s="31">
        <v>4.694</v>
      </c>
      <c r="P45" s="31">
        <v>4.7519999999999998</v>
      </c>
      <c r="Q45" s="31">
        <v>4.806</v>
      </c>
      <c r="R45" s="31">
        <v>4.8570000000000002</v>
      </c>
      <c r="S45" s="31">
        <v>4.9039999999999999</v>
      </c>
      <c r="T45" s="167">
        <v>4.9489999999999998</v>
      </c>
    </row>
    <row r="46" spans="1:20" x14ac:dyDescent="0.25">
      <c r="A46">
        <v>48</v>
      </c>
      <c r="B46" s="166">
        <v>2.3719999999999999</v>
      </c>
      <c r="C46" s="31">
        <v>2.9729999999999999</v>
      </c>
      <c r="D46" s="31">
        <v>3.33</v>
      </c>
      <c r="E46" s="31">
        <v>3.5830000000000002</v>
      </c>
      <c r="F46" s="31">
        <v>3.778</v>
      </c>
      <c r="G46" s="31">
        <v>3.9369999999999998</v>
      </c>
      <c r="H46" s="31">
        <v>4.07</v>
      </c>
      <c r="I46" s="31">
        <v>4.1849999999999996</v>
      </c>
      <c r="J46" s="31">
        <v>4.2850000000000001</v>
      </c>
      <c r="K46" s="31">
        <v>4.375</v>
      </c>
      <c r="L46" s="31">
        <v>4.4550000000000001</v>
      </c>
      <c r="M46" s="31">
        <v>4.5279999999999996</v>
      </c>
      <c r="N46" s="31">
        <v>4.5949999999999998</v>
      </c>
      <c r="O46" s="31">
        <v>4.6559999999999997</v>
      </c>
      <c r="P46" s="31">
        <v>4.7130000000000001</v>
      </c>
      <c r="Q46" s="31">
        <v>4.766</v>
      </c>
      <c r="R46" s="31">
        <v>4.8159999999999998</v>
      </c>
      <c r="S46" s="31">
        <v>4.8630000000000004</v>
      </c>
      <c r="T46" s="167">
        <v>4.907</v>
      </c>
    </row>
    <row r="47" spans="1:20" x14ac:dyDescent="0.25">
      <c r="A47">
        <v>60</v>
      </c>
      <c r="B47" s="166">
        <v>2.363</v>
      </c>
      <c r="C47" s="31">
        <v>2.9590000000000001</v>
      </c>
      <c r="D47" s="31">
        <v>3.3119999999999998</v>
      </c>
      <c r="E47" s="31">
        <v>3.5619999999999998</v>
      </c>
      <c r="F47" s="31">
        <v>3.7549999999999999</v>
      </c>
      <c r="G47" s="31">
        <v>3.911</v>
      </c>
      <c r="H47" s="31">
        <v>4.0419999999999998</v>
      </c>
      <c r="I47" s="31">
        <v>4.1550000000000002</v>
      </c>
      <c r="J47" s="31">
        <v>4.2539999999999996</v>
      </c>
      <c r="K47" s="31">
        <v>4.3419999999999996</v>
      </c>
      <c r="L47" s="31">
        <v>4.4210000000000003</v>
      </c>
      <c r="M47" s="31">
        <v>4.4930000000000003</v>
      </c>
      <c r="N47" s="31">
        <v>4.5579999999999998</v>
      </c>
      <c r="O47" s="31">
        <v>4.6189999999999998</v>
      </c>
      <c r="P47" s="31">
        <v>4.6749999999999998</v>
      </c>
      <c r="Q47" s="31">
        <v>4.7270000000000003</v>
      </c>
      <c r="R47" s="31">
        <v>4.7750000000000004</v>
      </c>
      <c r="S47" s="31">
        <v>4.8209999999999997</v>
      </c>
      <c r="T47" s="167">
        <v>4.8639999999999999</v>
      </c>
    </row>
    <row r="48" spans="1:20" x14ac:dyDescent="0.25">
      <c r="A48">
        <v>80</v>
      </c>
      <c r="B48" s="166">
        <v>2.3530000000000002</v>
      </c>
      <c r="C48" s="31">
        <v>2.9449999999999998</v>
      </c>
      <c r="D48" s="31">
        <v>3.294</v>
      </c>
      <c r="E48" s="31">
        <v>3.5409999999999999</v>
      </c>
      <c r="F48" s="31">
        <v>3.7309999999999999</v>
      </c>
      <c r="G48" s="31">
        <v>3.8849999999999998</v>
      </c>
      <c r="H48" s="31">
        <v>4.0140000000000002</v>
      </c>
      <c r="I48" s="31">
        <v>4.125</v>
      </c>
      <c r="J48" s="31">
        <v>4.2229999999999999</v>
      </c>
      <c r="K48" s="31">
        <v>4.3090000000000002</v>
      </c>
      <c r="L48" s="31">
        <v>4.3869999999999996</v>
      </c>
      <c r="M48" s="31">
        <v>4.4569999999999999</v>
      </c>
      <c r="N48" s="31">
        <v>4.5209999999999999</v>
      </c>
      <c r="O48" s="31">
        <v>4.5810000000000004</v>
      </c>
      <c r="P48" s="31">
        <v>4.6360000000000001</v>
      </c>
      <c r="Q48" s="31">
        <v>4.6870000000000003</v>
      </c>
      <c r="R48" s="31">
        <v>4.7350000000000003</v>
      </c>
      <c r="S48" s="31">
        <v>4.78</v>
      </c>
      <c r="T48" s="167">
        <v>4.8220000000000001</v>
      </c>
    </row>
    <row r="49" spans="1:20" x14ac:dyDescent="0.25">
      <c r="A49">
        <v>120</v>
      </c>
      <c r="B49" s="166">
        <v>2.3439999999999999</v>
      </c>
      <c r="C49" s="31">
        <v>2.93</v>
      </c>
      <c r="D49" s="31">
        <v>3.2759999999999998</v>
      </c>
      <c r="E49" s="31">
        <v>3.52</v>
      </c>
      <c r="F49" s="31">
        <v>3.7069999999999999</v>
      </c>
      <c r="G49" s="31">
        <v>3.859</v>
      </c>
      <c r="H49" s="31">
        <v>3.9860000000000002</v>
      </c>
      <c r="I49" s="31">
        <v>4.0960000000000001</v>
      </c>
      <c r="J49" s="31">
        <v>4.1909999999999998</v>
      </c>
      <c r="K49" s="31">
        <v>4.2759999999999998</v>
      </c>
      <c r="L49" s="31">
        <v>4.3529999999999998</v>
      </c>
      <c r="M49" s="31">
        <v>4.4219999999999997</v>
      </c>
      <c r="N49" s="31">
        <v>4.4850000000000003</v>
      </c>
      <c r="O49" s="31">
        <v>4.5430000000000001</v>
      </c>
      <c r="P49" s="31">
        <v>4.5970000000000004</v>
      </c>
      <c r="Q49" s="31">
        <v>4.6470000000000002</v>
      </c>
      <c r="R49" s="31">
        <v>4.694</v>
      </c>
      <c r="S49" s="31">
        <v>4.7380000000000004</v>
      </c>
      <c r="T49" s="167">
        <v>4.7789999999999999</v>
      </c>
    </row>
    <row r="50" spans="1:20" x14ac:dyDescent="0.25">
      <c r="A50">
        <v>240</v>
      </c>
      <c r="B50" s="166">
        <v>2.335</v>
      </c>
      <c r="C50" s="31">
        <v>2.9159999999999999</v>
      </c>
      <c r="D50" s="31">
        <v>3.258</v>
      </c>
      <c r="E50" s="31">
        <v>3.4990000000000001</v>
      </c>
      <c r="F50" s="31">
        <v>3.6840000000000002</v>
      </c>
      <c r="G50" s="31">
        <v>3.8340000000000001</v>
      </c>
      <c r="H50" s="31">
        <v>3.9590000000000001</v>
      </c>
      <c r="I50" s="31">
        <v>4.0659999999999998</v>
      </c>
      <c r="J50" s="31">
        <v>4.16</v>
      </c>
      <c r="K50" s="31">
        <v>4.2439999999999998</v>
      </c>
      <c r="L50" s="31">
        <v>4.319</v>
      </c>
      <c r="M50" s="31">
        <v>4.3860000000000001</v>
      </c>
      <c r="N50" s="31">
        <v>4.4480000000000004</v>
      </c>
      <c r="O50" s="31">
        <v>4.5049999999999999</v>
      </c>
      <c r="P50" s="31">
        <v>4.5579999999999998</v>
      </c>
      <c r="Q50" s="31">
        <v>4.6070000000000002</v>
      </c>
      <c r="R50" s="31">
        <v>4.6529999999999996</v>
      </c>
      <c r="S50" s="31">
        <v>4.6959999999999997</v>
      </c>
      <c r="T50" s="167">
        <v>4.7370000000000001</v>
      </c>
    </row>
    <row r="51" spans="1:20" x14ac:dyDescent="0.25">
      <c r="A51" s="12" t="s">
        <v>56</v>
      </c>
      <c r="B51" s="168">
        <v>2.3260000000000001</v>
      </c>
      <c r="C51" s="218">
        <v>2.9020000000000001</v>
      </c>
      <c r="D51" s="218">
        <v>3.24</v>
      </c>
      <c r="E51" s="218">
        <v>3.4780000000000002</v>
      </c>
      <c r="F51" s="218">
        <v>3.661</v>
      </c>
      <c r="G51" s="218">
        <v>3.8079999999999998</v>
      </c>
      <c r="H51" s="218">
        <v>3.931</v>
      </c>
      <c r="I51" s="218">
        <v>4.0369999999999999</v>
      </c>
      <c r="J51" s="218">
        <v>4.1289999999999996</v>
      </c>
      <c r="K51" s="218">
        <v>4.2110000000000003</v>
      </c>
      <c r="L51" s="218">
        <v>4.2850000000000001</v>
      </c>
      <c r="M51" s="218">
        <v>4.351</v>
      </c>
      <c r="N51" s="218">
        <v>4.4119999999999999</v>
      </c>
      <c r="O51" s="218">
        <v>4.468</v>
      </c>
      <c r="P51" s="218">
        <v>4.5190000000000001</v>
      </c>
      <c r="Q51" s="218">
        <v>4.5679999999999996</v>
      </c>
      <c r="R51" s="218">
        <v>4.6120000000000001</v>
      </c>
      <c r="S51" s="218">
        <v>4.6539999999999999</v>
      </c>
      <c r="T51" s="169">
        <v>4.694</v>
      </c>
    </row>
    <row r="53" spans="1:20" x14ac:dyDescent="0.25">
      <c r="B53" t="s">
        <v>17</v>
      </c>
      <c r="C53">
        <v>0.05</v>
      </c>
    </row>
    <row r="54" spans="1:20" x14ac:dyDescent="0.25">
      <c r="B54" t="s">
        <v>55</v>
      </c>
    </row>
    <row r="55" spans="1:20" x14ac:dyDescent="0.25">
      <c r="A55" s="12" t="s">
        <v>37</v>
      </c>
      <c r="B55">
        <v>2</v>
      </c>
      <c r="C55">
        <v>3</v>
      </c>
      <c r="D55">
        <v>4</v>
      </c>
      <c r="E55">
        <v>5</v>
      </c>
      <c r="F55">
        <v>6</v>
      </c>
      <c r="G55">
        <v>7</v>
      </c>
      <c r="H55">
        <v>8</v>
      </c>
      <c r="I55">
        <v>9</v>
      </c>
      <c r="J55">
        <v>10</v>
      </c>
      <c r="K55">
        <v>11</v>
      </c>
      <c r="L55">
        <v>12</v>
      </c>
      <c r="M55">
        <v>13</v>
      </c>
      <c r="N55">
        <v>14</v>
      </c>
      <c r="O55">
        <v>15</v>
      </c>
      <c r="P55">
        <v>16</v>
      </c>
      <c r="Q55">
        <v>17</v>
      </c>
      <c r="R55">
        <v>18</v>
      </c>
      <c r="S55">
        <v>19</v>
      </c>
      <c r="T55">
        <v>20</v>
      </c>
    </row>
    <row r="56" spans="1:20" x14ac:dyDescent="0.25">
      <c r="A56">
        <v>1</v>
      </c>
      <c r="B56" s="258">
        <v>17.969000000000001</v>
      </c>
      <c r="C56" s="217">
        <v>26.975999999999999</v>
      </c>
      <c r="D56" s="217">
        <v>32.819000000000003</v>
      </c>
      <c r="E56" s="217">
        <v>37.082000000000001</v>
      </c>
      <c r="F56" s="217">
        <v>40.408000000000001</v>
      </c>
      <c r="G56" s="217">
        <v>43.119</v>
      </c>
      <c r="H56" s="217">
        <v>45.396999999999998</v>
      </c>
      <c r="I56" s="217">
        <v>47.356999999999999</v>
      </c>
      <c r="J56" s="217">
        <v>49.070999999999998</v>
      </c>
      <c r="K56" s="217">
        <v>50.591999999999999</v>
      </c>
      <c r="L56" s="217">
        <v>51.957000000000001</v>
      </c>
      <c r="M56" s="217">
        <v>53.194000000000003</v>
      </c>
      <c r="N56" s="217">
        <v>54.323</v>
      </c>
      <c r="O56" s="217">
        <v>55.360999999999997</v>
      </c>
      <c r="P56" s="217">
        <v>56.32</v>
      </c>
      <c r="Q56" s="217">
        <v>57.212000000000003</v>
      </c>
      <c r="R56" s="217">
        <v>58.043999999999997</v>
      </c>
      <c r="S56" s="217">
        <v>58.823999999999998</v>
      </c>
      <c r="T56" s="259">
        <v>59.558</v>
      </c>
    </row>
    <row r="57" spans="1:20" x14ac:dyDescent="0.25">
      <c r="A57">
        <v>2</v>
      </c>
      <c r="B57" s="166">
        <v>6.085</v>
      </c>
      <c r="C57" s="31">
        <v>8.3309999999999995</v>
      </c>
      <c r="D57" s="31">
        <v>9.798</v>
      </c>
      <c r="E57" s="31">
        <v>10.881</v>
      </c>
      <c r="F57" s="31">
        <v>11.734</v>
      </c>
      <c r="G57" s="31">
        <v>12.435</v>
      </c>
      <c r="H57" s="31">
        <v>13.026999999999999</v>
      </c>
      <c r="I57" s="31">
        <v>13.539</v>
      </c>
      <c r="J57" s="31">
        <v>13.988</v>
      </c>
      <c r="K57" s="31">
        <v>14.388999999999999</v>
      </c>
      <c r="L57" s="31">
        <v>14.749000000000001</v>
      </c>
      <c r="M57" s="31">
        <v>15.076000000000001</v>
      </c>
      <c r="N57" s="31">
        <v>15.375</v>
      </c>
      <c r="O57" s="31">
        <v>15.65</v>
      </c>
      <c r="P57" s="31">
        <v>15.904999999999999</v>
      </c>
      <c r="Q57" s="31">
        <v>16.143000000000001</v>
      </c>
      <c r="R57" s="31">
        <v>16.364999999999998</v>
      </c>
      <c r="S57" s="31">
        <v>16.573</v>
      </c>
      <c r="T57" s="167">
        <v>16.768999999999998</v>
      </c>
    </row>
    <row r="58" spans="1:20" x14ac:dyDescent="0.25">
      <c r="A58">
        <v>3</v>
      </c>
      <c r="B58" s="166">
        <v>4.5010000000000003</v>
      </c>
      <c r="C58" s="31">
        <v>5.91</v>
      </c>
      <c r="D58" s="31">
        <v>6.8250000000000002</v>
      </c>
      <c r="E58" s="31">
        <v>7.5019999999999998</v>
      </c>
      <c r="F58" s="31">
        <v>8.0370000000000008</v>
      </c>
      <c r="G58" s="31">
        <v>8.4779999999999998</v>
      </c>
      <c r="H58" s="31">
        <v>8.8520000000000003</v>
      </c>
      <c r="I58" s="31">
        <v>9.1769999999999996</v>
      </c>
      <c r="J58" s="31">
        <v>9.4619999999999997</v>
      </c>
      <c r="K58" s="31">
        <v>9.7170000000000005</v>
      </c>
      <c r="L58" s="31">
        <v>9.9459999999999997</v>
      </c>
      <c r="M58" s="31">
        <v>10.154999999999999</v>
      </c>
      <c r="N58" s="31">
        <v>10.346</v>
      </c>
      <c r="O58" s="31">
        <v>10.522</v>
      </c>
      <c r="P58" s="31">
        <v>10.686</v>
      </c>
      <c r="Q58" s="31">
        <v>10.837999999999999</v>
      </c>
      <c r="R58" s="31">
        <v>10.98</v>
      </c>
      <c r="S58" s="31">
        <v>11.114000000000001</v>
      </c>
      <c r="T58" s="167">
        <v>11.24</v>
      </c>
    </row>
    <row r="59" spans="1:20" x14ac:dyDescent="0.25">
      <c r="A59">
        <v>4</v>
      </c>
      <c r="B59" s="166">
        <v>3.9260000000000002</v>
      </c>
      <c r="C59" s="31">
        <v>5.04</v>
      </c>
      <c r="D59" s="31">
        <v>5.7569999999999997</v>
      </c>
      <c r="E59" s="31">
        <v>6.2869999999999999</v>
      </c>
      <c r="F59" s="31">
        <v>6.7060000000000004</v>
      </c>
      <c r="G59" s="31">
        <v>7.0529999999999999</v>
      </c>
      <c r="H59" s="31">
        <v>7.3470000000000004</v>
      </c>
      <c r="I59" s="31">
        <v>7.6020000000000003</v>
      </c>
      <c r="J59" s="31">
        <v>7.8259999999999996</v>
      </c>
      <c r="K59" s="31">
        <v>8.0269999999999992</v>
      </c>
      <c r="L59" s="31">
        <v>8.2080000000000002</v>
      </c>
      <c r="M59" s="31">
        <v>8.3729999999999993</v>
      </c>
      <c r="N59" s="31">
        <v>8.5239999999999991</v>
      </c>
      <c r="O59" s="31">
        <v>8.6639999999999997</v>
      </c>
      <c r="P59" s="31">
        <v>8.7929999999999993</v>
      </c>
      <c r="Q59" s="31">
        <v>8.9139999999999997</v>
      </c>
      <c r="R59" s="31">
        <v>9.0269999999999992</v>
      </c>
      <c r="S59" s="31">
        <v>9.1329999999999991</v>
      </c>
      <c r="T59" s="167">
        <v>9.2330000000000005</v>
      </c>
    </row>
    <row r="60" spans="1:20" x14ac:dyDescent="0.25">
      <c r="A60">
        <v>5</v>
      </c>
      <c r="B60" s="166">
        <v>3.6349999999999998</v>
      </c>
      <c r="C60" s="31">
        <v>4.6020000000000003</v>
      </c>
      <c r="D60" s="31">
        <v>5.218</v>
      </c>
      <c r="E60" s="31">
        <v>5.673</v>
      </c>
      <c r="F60" s="31">
        <v>6.0330000000000004</v>
      </c>
      <c r="G60" s="31">
        <v>6.33</v>
      </c>
      <c r="H60" s="31">
        <v>6.5819999999999999</v>
      </c>
      <c r="I60" s="31">
        <v>6.8010000000000002</v>
      </c>
      <c r="J60" s="31">
        <v>6.9950000000000001</v>
      </c>
      <c r="K60" s="31">
        <v>7.1669999999999998</v>
      </c>
      <c r="L60" s="31">
        <v>7.3230000000000004</v>
      </c>
      <c r="M60" s="31">
        <v>7.4660000000000002</v>
      </c>
      <c r="N60" s="31">
        <v>7.5960000000000001</v>
      </c>
      <c r="O60" s="31">
        <v>7.7160000000000002</v>
      </c>
      <c r="P60" s="31">
        <v>7.8280000000000003</v>
      </c>
      <c r="Q60" s="31">
        <v>7.9320000000000004</v>
      </c>
      <c r="R60" s="31">
        <v>8.0299999999999994</v>
      </c>
      <c r="S60" s="31">
        <v>8.1219999999999999</v>
      </c>
      <c r="T60" s="167">
        <v>8.2080000000000002</v>
      </c>
    </row>
    <row r="61" spans="1:20" x14ac:dyDescent="0.25">
      <c r="A61">
        <v>6</v>
      </c>
      <c r="B61" s="166">
        <v>3.46</v>
      </c>
      <c r="C61" s="31">
        <v>4.3390000000000004</v>
      </c>
      <c r="D61" s="31">
        <v>4.8959999999999999</v>
      </c>
      <c r="E61" s="31">
        <v>5.3049999999999997</v>
      </c>
      <c r="F61" s="31">
        <v>5.6280000000000001</v>
      </c>
      <c r="G61" s="31">
        <v>5.8949999999999996</v>
      </c>
      <c r="H61" s="31">
        <v>6.1219999999999999</v>
      </c>
      <c r="I61" s="31">
        <v>6.319</v>
      </c>
      <c r="J61" s="31">
        <v>6.4930000000000003</v>
      </c>
      <c r="K61" s="31">
        <v>6.649</v>
      </c>
      <c r="L61" s="31">
        <v>6.7889999999999997</v>
      </c>
      <c r="M61" s="31">
        <v>6.9169999999999998</v>
      </c>
      <c r="N61" s="31">
        <v>7.0339999999999998</v>
      </c>
      <c r="O61" s="31">
        <v>7.1429999999999998</v>
      </c>
      <c r="P61" s="31">
        <v>7.2439999999999998</v>
      </c>
      <c r="Q61" s="31">
        <v>7.3380000000000001</v>
      </c>
      <c r="R61" s="31">
        <v>7.4260000000000002</v>
      </c>
      <c r="S61" s="31">
        <v>7.508</v>
      </c>
      <c r="T61" s="167">
        <v>7.5860000000000003</v>
      </c>
    </row>
    <row r="62" spans="1:20" x14ac:dyDescent="0.25">
      <c r="A62">
        <v>7</v>
      </c>
      <c r="B62" s="166">
        <v>3.3439999999999999</v>
      </c>
      <c r="C62" s="31">
        <v>4.165</v>
      </c>
      <c r="D62" s="31">
        <v>4.681</v>
      </c>
      <c r="E62" s="31">
        <v>5.0599999999999996</v>
      </c>
      <c r="F62" s="31">
        <v>5.359</v>
      </c>
      <c r="G62" s="31">
        <v>5.6059999999999999</v>
      </c>
      <c r="H62" s="31">
        <v>5.8150000000000004</v>
      </c>
      <c r="I62" s="31">
        <v>5.9969999999999999</v>
      </c>
      <c r="J62" s="31">
        <v>6.1580000000000004</v>
      </c>
      <c r="K62" s="31">
        <v>6.3019999999999996</v>
      </c>
      <c r="L62" s="31">
        <v>6.431</v>
      </c>
      <c r="M62" s="31">
        <v>6.55</v>
      </c>
      <c r="N62" s="31">
        <v>6.6580000000000004</v>
      </c>
      <c r="O62" s="31">
        <v>6.7590000000000003</v>
      </c>
      <c r="P62" s="31">
        <v>6.8520000000000003</v>
      </c>
      <c r="Q62" s="31">
        <v>6.9390000000000001</v>
      </c>
      <c r="R62" s="31">
        <v>7.02</v>
      </c>
      <c r="S62" s="31">
        <v>7.0970000000000004</v>
      </c>
      <c r="T62" s="167">
        <v>7.1689999999999996</v>
      </c>
    </row>
    <row r="63" spans="1:20" x14ac:dyDescent="0.25">
      <c r="A63">
        <v>8</v>
      </c>
      <c r="B63" s="166">
        <v>3.2610000000000001</v>
      </c>
      <c r="C63" s="31">
        <v>4.0410000000000004</v>
      </c>
      <c r="D63" s="31">
        <v>4.5289999999999999</v>
      </c>
      <c r="E63" s="31">
        <v>4.8860000000000001</v>
      </c>
      <c r="F63" s="31">
        <v>5.1669999999999998</v>
      </c>
      <c r="G63" s="31">
        <v>5.399</v>
      </c>
      <c r="H63" s="31">
        <v>5.5960000000000001</v>
      </c>
      <c r="I63" s="31">
        <v>5.7670000000000003</v>
      </c>
      <c r="J63" s="31">
        <v>5.9180000000000001</v>
      </c>
      <c r="K63" s="31">
        <v>6.0529999999999999</v>
      </c>
      <c r="L63" s="31">
        <v>6.1749999999999998</v>
      </c>
      <c r="M63" s="31">
        <v>6.2869999999999999</v>
      </c>
      <c r="N63" s="31">
        <v>6.3890000000000002</v>
      </c>
      <c r="O63" s="31">
        <v>6.4829999999999997</v>
      </c>
      <c r="P63" s="31">
        <v>6.5709999999999997</v>
      </c>
      <c r="Q63" s="31">
        <v>6.6529999999999996</v>
      </c>
      <c r="R63" s="31">
        <v>6.7290000000000001</v>
      </c>
      <c r="S63" s="31">
        <v>6.8010000000000002</v>
      </c>
      <c r="T63" s="167">
        <v>6.8689999999999998</v>
      </c>
    </row>
    <row r="64" spans="1:20" x14ac:dyDescent="0.25">
      <c r="A64">
        <v>9</v>
      </c>
      <c r="B64" s="166">
        <v>3.1989999999999998</v>
      </c>
      <c r="C64" s="31">
        <v>3.948</v>
      </c>
      <c r="D64" s="31">
        <v>4.415</v>
      </c>
      <c r="E64" s="31">
        <v>4.7549999999999999</v>
      </c>
      <c r="F64" s="31">
        <v>5.024</v>
      </c>
      <c r="G64" s="31">
        <v>5.2439999999999998</v>
      </c>
      <c r="H64" s="31">
        <v>5.4320000000000004</v>
      </c>
      <c r="I64" s="31">
        <v>5.5949999999999998</v>
      </c>
      <c r="J64" s="31">
        <v>5.7380000000000004</v>
      </c>
      <c r="K64" s="31">
        <v>5.867</v>
      </c>
      <c r="L64" s="31">
        <v>5.9829999999999997</v>
      </c>
      <c r="M64" s="31">
        <v>6.0890000000000004</v>
      </c>
      <c r="N64" s="31">
        <v>6.1859999999999999</v>
      </c>
      <c r="O64" s="31">
        <v>6.2759999999999998</v>
      </c>
      <c r="P64" s="31">
        <v>6.359</v>
      </c>
      <c r="Q64" s="31">
        <v>6.4370000000000003</v>
      </c>
      <c r="R64" s="31">
        <v>6.51</v>
      </c>
      <c r="S64" s="31">
        <v>6.5789999999999997</v>
      </c>
      <c r="T64" s="167">
        <v>6.6429999999999998</v>
      </c>
    </row>
    <row r="65" spans="1:20" x14ac:dyDescent="0.25">
      <c r="A65">
        <v>10</v>
      </c>
      <c r="B65" s="166">
        <v>3.1509999999999998</v>
      </c>
      <c r="C65" s="31">
        <v>3.8769999999999998</v>
      </c>
      <c r="D65" s="31">
        <v>4.327</v>
      </c>
      <c r="E65" s="31">
        <v>4.6539999999999999</v>
      </c>
      <c r="F65" s="31">
        <v>4.9119999999999999</v>
      </c>
      <c r="G65" s="31">
        <v>5.1239999999999997</v>
      </c>
      <c r="H65" s="31">
        <v>5.3040000000000003</v>
      </c>
      <c r="I65" s="31">
        <v>5.46</v>
      </c>
      <c r="J65" s="31">
        <v>5.5979999999999999</v>
      </c>
      <c r="K65" s="31">
        <v>5.7220000000000004</v>
      </c>
      <c r="L65" s="31">
        <v>5.8330000000000002</v>
      </c>
      <c r="M65" s="31">
        <v>5.9349999999999996</v>
      </c>
      <c r="N65" s="31">
        <v>6.0279999999999996</v>
      </c>
      <c r="O65" s="31">
        <v>6.1139999999999999</v>
      </c>
      <c r="P65" s="31">
        <v>6.194</v>
      </c>
      <c r="Q65" s="31">
        <v>6.2690000000000001</v>
      </c>
      <c r="R65" s="31">
        <v>6.3390000000000004</v>
      </c>
      <c r="S65" s="31">
        <v>6.4050000000000002</v>
      </c>
      <c r="T65" s="167">
        <v>6.4669999999999996</v>
      </c>
    </row>
    <row r="66" spans="1:20" x14ac:dyDescent="0.25">
      <c r="A66">
        <v>11</v>
      </c>
      <c r="B66" s="166">
        <v>3.113</v>
      </c>
      <c r="C66" s="31">
        <v>3.82</v>
      </c>
      <c r="D66" s="31">
        <v>4.2560000000000002</v>
      </c>
      <c r="E66" s="31">
        <v>4.5739999999999998</v>
      </c>
      <c r="F66" s="31">
        <v>4.8230000000000004</v>
      </c>
      <c r="G66" s="31">
        <v>5.0279999999999996</v>
      </c>
      <c r="H66" s="31">
        <v>5.202</v>
      </c>
      <c r="I66" s="31">
        <v>5.3529999999999998</v>
      </c>
      <c r="J66" s="31">
        <v>5.4859999999999998</v>
      </c>
      <c r="K66" s="31">
        <v>5.6050000000000004</v>
      </c>
      <c r="L66" s="31">
        <v>5.7130000000000001</v>
      </c>
      <c r="M66" s="31">
        <v>5.8109999999999999</v>
      </c>
      <c r="N66" s="31">
        <v>5.9009999999999998</v>
      </c>
      <c r="O66" s="31">
        <v>5.984</v>
      </c>
      <c r="P66" s="31">
        <v>6.0620000000000003</v>
      </c>
      <c r="Q66" s="31">
        <v>6.1340000000000003</v>
      </c>
      <c r="R66" s="31">
        <v>6.202</v>
      </c>
      <c r="S66" s="31">
        <v>6.2649999999999997</v>
      </c>
      <c r="T66" s="167">
        <v>6.3250000000000002</v>
      </c>
    </row>
    <row r="67" spans="1:20" x14ac:dyDescent="0.25">
      <c r="A67">
        <v>12</v>
      </c>
      <c r="B67" s="166">
        <v>3.081</v>
      </c>
      <c r="C67" s="31">
        <v>3.7730000000000001</v>
      </c>
      <c r="D67" s="31">
        <v>4.1989999999999998</v>
      </c>
      <c r="E67" s="31">
        <v>4.508</v>
      </c>
      <c r="F67" s="31">
        <v>4.75</v>
      </c>
      <c r="G67" s="31">
        <v>4.95</v>
      </c>
      <c r="H67" s="31">
        <v>5.1189999999999998</v>
      </c>
      <c r="I67" s="31">
        <v>5.2649999999999997</v>
      </c>
      <c r="J67" s="31">
        <v>5.3949999999999996</v>
      </c>
      <c r="K67" s="31">
        <v>5.51</v>
      </c>
      <c r="L67" s="31">
        <v>5.6150000000000002</v>
      </c>
      <c r="M67" s="31">
        <v>5.71</v>
      </c>
      <c r="N67" s="31">
        <v>5.7969999999999997</v>
      </c>
      <c r="O67" s="31">
        <v>5.8780000000000001</v>
      </c>
      <c r="P67" s="31">
        <v>5.9530000000000003</v>
      </c>
      <c r="Q67" s="31">
        <v>6.0229999999999997</v>
      </c>
      <c r="R67" s="31">
        <v>6.0890000000000004</v>
      </c>
      <c r="S67" s="31">
        <v>6.1509999999999998</v>
      </c>
      <c r="T67" s="167">
        <v>6.2089999999999996</v>
      </c>
    </row>
    <row r="68" spans="1:20" x14ac:dyDescent="0.25">
      <c r="A68">
        <v>13</v>
      </c>
      <c r="B68" s="166">
        <v>3.0550000000000002</v>
      </c>
      <c r="C68" s="31">
        <v>3.734</v>
      </c>
      <c r="D68" s="31">
        <v>4.1509999999999998</v>
      </c>
      <c r="E68" s="31">
        <v>4.4530000000000003</v>
      </c>
      <c r="F68" s="31">
        <v>4.6900000000000004</v>
      </c>
      <c r="G68" s="31">
        <v>4.8840000000000003</v>
      </c>
      <c r="H68" s="31">
        <v>5.0490000000000004</v>
      </c>
      <c r="I68" s="31">
        <v>5.1920000000000002</v>
      </c>
      <c r="J68" s="31">
        <v>5.3179999999999996</v>
      </c>
      <c r="K68" s="31">
        <v>5.431</v>
      </c>
      <c r="L68" s="31">
        <v>5.5330000000000004</v>
      </c>
      <c r="M68" s="31">
        <v>5.625</v>
      </c>
      <c r="N68" s="31">
        <v>5.7110000000000003</v>
      </c>
      <c r="O68" s="31">
        <v>5.7889999999999997</v>
      </c>
      <c r="P68" s="31">
        <v>5.8620000000000001</v>
      </c>
      <c r="Q68" s="31">
        <v>5.931</v>
      </c>
      <c r="R68" s="31">
        <v>5.9950000000000001</v>
      </c>
      <c r="S68" s="31">
        <v>6.0549999999999997</v>
      </c>
      <c r="T68" s="167">
        <v>6.1120000000000001</v>
      </c>
    </row>
    <row r="69" spans="1:20" x14ac:dyDescent="0.25">
      <c r="A69">
        <v>14</v>
      </c>
      <c r="B69" s="166">
        <v>3.0329999999999999</v>
      </c>
      <c r="C69" s="31">
        <v>3.7010000000000001</v>
      </c>
      <c r="D69" s="31">
        <v>4.1109999999999998</v>
      </c>
      <c r="E69" s="31">
        <v>4.407</v>
      </c>
      <c r="F69" s="31">
        <v>4.6390000000000002</v>
      </c>
      <c r="G69" s="31">
        <v>4.8289999999999997</v>
      </c>
      <c r="H69" s="31">
        <v>4.99</v>
      </c>
      <c r="I69" s="31">
        <v>5.13</v>
      </c>
      <c r="J69" s="31">
        <v>5.2530000000000001</v>
      </c>
      <c r="K69" s="31">
        <v>5.3639999999999999</v>
      </c>
      <c r="L69" s="31">
        <v>5.4630000000000001</v>
      </c>
      <c r="M69" s="31">
        <v>5.5540000000000003</v>
      </c>
      <c r="N69" s="31">
        <v>5.6369999999999996</v>
      </c>
      <c r="O69" s="31">
        <v>5.7140000000000004</v>
      </c>
      <c r="P69" s="31">
        <v>5.7850000000000001</v>
      </c>
      <c r="Q69" s="31">
        <v>5.8520000000000003</v>
      </c>
      <c r="R69" s="31">
        <v>5.915</v>
      </c>
      <c r="S69" s="31">
        <v>5.9729999999999999</v>
      </c>
      <c r="T69" s="167">
        <v>6.0289999999999999</v>
      </c>
    </row>
    <row r="70" spans="1:20" x14ac:dyDescent="0.25">
      <c r="A70">
        <v>15</v>
      </c>
      <c r="B70" s="166">
        <v>3.0139999999999998</v>
      </c>
      <c r="C70" s="31">
        <v>3.673</v>
      </c>
      <c r="D70" s="31">
        <v>4.0759999999999996</v>
      </c>
      <c r="E70" s="31">
        <v>4.367</v>
      </c>
      <c r="F70" s="31">
        <v>4.5949999999999998</v>
      </c>
      <c r="G70" s="31">
        <v>4.782</v>
      </c>
      <c r="H70" s="31">
        <v>4.9400000000000004</v>
      </c>
      <c r="I70" s="31">
        <v>5.077</v>
      </c>
      <c r="J70" s="31">
        <v>5.1980000000000004</v>
      </c>
      <c r="K70" s="31">
        <v>5.306</v>
      </c>
      <c r="L70" s="31">
        <v>5.4029999999999996</v>
      </c>
      <c r="M70" s="31">
        <v>5.492</v>
      </c>
      <c r="N70" s="31">
        <v>5.5739999999999998</v>
      </c>
      <c r="O70" s="31">
        <v>5.649</v>
      </c>
      <c r="P70" s="31">
        <v>5.7190000000000003</v>
      </c>
      <c r="Q70" s="31">
        <v>5.7850000000000001</v>
      </c>
      <c r="R70" s="31">
        <v>5.8460000000000001</v>
      </c>
      <c r="S70" s="31">
        <v>5.9039999999999999</v>
      </c>
      <c r="T70" s="167">
        <v>5.9580000000000002</v>
      </c>
    </row>
    <row r="71" spans="1:20" x14ac:dyDescent="0.25">
      <c r="A71">
        <v>16</v>
      </c>
      <c r="B71" s="166">
        <v>2.9980000000000002</v>
      </c>
      <c r="C71" s="31">
        <v>3.649</v>
      </c>
      <c r="D71" s="31">
        <v>4.0460000000000003</v>
      </c>
      <c r="E71" s="31">
        <v>4.3330000000000002</v>
      </c>
      <c r="F71" s="31">
        <v>4.5570000000000004</v>
      </c>
      <c r="G71" s="31">
        <v>4.7409999999999997</v>
      </c>
      <c r="H71" s="31">
        <v>4.8959999999999999</v>
      </c>
      <c r="I71" s="31">
        <v>5.0309999999999997</v>
      </c>
      <c r="J71" s="31">
        <v>5.15</v>
      </c>
      <c r="K71" s="31">
        <v>5.2560000000000002</v>
      </c>
      <c r="L71" s="31">
        <v>5.3520000000000003</v>
      </c>
      <c r="M71" s="31">
        <v>5.4390000000000001</v>
      </c>
      <c r="N71" s="31">
        <v>5.5190000000000001</v>
      </c>
      <c r="O71" s="31">
        <v>5.593</v>
      </c>
      <c r="P71" s="31">
        <v>5.6619999999999999</v>
      </c>
      <c r="Q71" s="31">
        <v>5.726</v>
      </c>
      <c r="R71" s="31">
        <v>5.7859999999999996</v>
      </c>
      <c r="S71" s="31">
        <v>5.843</v>
      </c>
      <c r="T71" s="167">
        <v>5.8959999999999999</v>
      </c>
    </row>
    <row r="72" spans="1:20" x14ac:dyDescent="0.25">
      <c r="A72">
        <v>17</v>
      </c>
      <c r="B72" s="166">
        <v>2.984</v>
      </c>
      <c r="C72" s="31">
        <v>3.6280000000000001</v>
      </c>
      <c r="D72" s="31">
        <v>4.0199999999999996</v>
      </c>
      <c r="E72" s="31">
        <v>4.3029999999999999</v>
      </c>
      <c r="F72" s="31">
        <v>4.524</v>
      </c>
      <c r="G72" s="31">
        <v>4.7050000000000001</v>
      </c>
      <c r="H72" s="31">
        <v>4.8579999999999997</v>
      </c>
      <c r="I72" s="31">
        <v>4.9909999999999997</v>
      </c>
      <c r="J72" s="31">
        <v>5.1079999999999997</v>
      </c>
      <c r="K72" s="31">
        <v>5.2119999999999997</v>
      </c>
      <c r="L72" s="31">
        <v>5.306</v>
      </c>
      <c r="M72" s="31">
        <v>5.3920000000000003</v>
      </c>
      <c r="N72" s="31">
        <v>5.4710000000000001</v>
      </c>
      <c r="O72" s="31">
        <v>5.5439999999999996</v>
      </c>
      <c r="P72" s="31">
        <v>5.6120000000000001</v>
      </c>
      <c r="Q72" s="31">
        <v>5.6749999999999998</v>
      </c>
      <c r="R72" s="31">
        <v>5.734</v>
      </c>
      <c r="S72" s="31">
        <v>5.79</v>
      </c>
      <c r="T72" s="167">
        <v>5.8419999999999996</v>
      </c>
    </row>
    <row r="73" spans="1:20" x14ac:dyDescent="0.25">
      <c r="A73">
        <v>18</v>
      </c>
      <c r="B73" s="166">
        <v>2.9710000000000001</v>
      </c>
      <c r="C73" s="31">
        <v>3.609</v>
      </c>
      <c r="D73" s="31">
        <v>3.9969999999999999</v>
      </c>
      <c r="E73" s="31">
        <v>4.2759999999999998</v>
      </c>
      <c r="F73" s="31">
        <v>4.4939999999999998</v>
      </c>
      <c r="G73" s="31">
        <v>4.673</v>
      </c>
      <c r="H73" s="31">
        <v>4.8239999999999998</v>
      </c>
      <c r="I73" s="31">
        <v>4.9550000000000001</v>
      </c>
      <c r="J73" s="31">
        <v>5.0709999999999997</v>
      </c>
      <c r="K73" s="31">
        <v>5.173</v>
      </c>
      <c r="L73" s="31">
        <v>5.266</v>
      </c>
      <c r="M73" s="31">
        <v>5.351</v>
      </c>
      <c r="N73" s="31">
        <v>5.4290000000000003</v>
      </c>
      <c r="O73" s="31">
        <v>5.5010000000000003</v>
      </c>
      <c r="P73" s="31">
        <v>5.5670000000000002</v>
      </c>
      <c r="Q73" s="31">
        <v>5.6289999999999996</v>
      </c>
      <c r="R73" s="31">
        <v>5.6879999999999997</v>
      </c>
      <c r="S73" s="31">
        <v>5.7430000000000003</v>
      </c>
      <c r="T73" s="167">
        <v>5.7939999999999996</v>
      </c>
    </row>
    <row r="74" spans="1:20" x14ac:dyDescent="0.25">
      <c r="A74">
        <v>19</v>
      </c>
      <c r="B74" s="166">
        <v>2.96</v>
      </c>
      <c r="C74" s="31">
        <v>3.593</v>
      </c>
      <c r="D74" s="31">
        <v>3.9769999999999999</v>
      </c>
      <c r="E74" s="31">
        <v>4.2530000000000001</v>
      </c>
      <c r="F74" s="31">
        <v>4.468</v>
      </c>
      <c r="G74" s="31">
        <v>4.6449999999999996</v>
      </c>
      <c r="H74" s="31">
        <v>4.7939999999999996</v>
      </c>
      <c r="I74" s="31">
        <v>4.9240000000000004</v>
      </c>
      <c r="J74" s="31">
        <v>5.0369999999999999</v>
      </c>
      <c r="K74" s="31">
        <v>5.1390000000000002</v>
      </c>
      <c r="L74" s="31">
        <v>5.2309999999999999</v>
      </c>
      <c r="M74" s="31">
        <v>5.3140000000000001</v>
      </c>
      <c r="N74" s="31">
        <v>5.391</v>
      </c>
      <c r="O74" s="31">
        <v>5.4619999999999997</v>
      </c>
      <c r="P74" s="31">
        <v>5.5279999999999996</v>
      </c>
      <c r="Q74" s="31">
        <v>5.5890000000000004</v>
      </c>
      <c r="R74" s="31">
        <v>5.6470000000000002</v>
      </c>
      <c r="S74" s="31">
        <v>5.7009999999999996</v>
      </c>
      <c r="T74" s="167">
        <v>5.7519999999999998</v>
      </c>
    </row>
    <row r="75" spans="1:20" x14ac:dyDescent="0.25">
      <c r="A75">
        <v>20</v>
      </c>
      <c r="B75" s="166">
        <v>2.95</v>
      </c>
      <c r="C75" s="31">
        <v>3.5779999999999998</v>
      </c>
      <c r="D75" s="31">
        <v>3.9580000000000002</v>
      </c>
      <c r="E75" s="31">
        <v>4.2320000000000002</v>
      </c>
      <c r="F75" s="31">
        <v>4.4450000000000003</v>
      </c>
      <c r="G75" s="31">
        <v>4.62</v>
      </c>
      <c r="H75" s="31">
        <v>4.7679999999999998</v>
      </c>
      <c r="I75" s="31">
        <v>4.8949999999999996</v>
      </c>
      <c r="J75" s="31">
        <v>5.008</v>
      </c>
      <c r="K75" s="31">
        <v>5.1079999999999997</v>
      </c>
      <c r="L75" s="31">
        <v>5.1989999999999998</v>
      </c>
      <c r="M75" s="31">
        <v>5.282</v>
      </c>
      <c r="N75" s="31">
        <v>5.3570000000000002</v>
      </c>
      <c r="O75" s="31">
        <v>5.4269999999999996</v>
      </c>
      <c r="P75" s="31">
        <v>5.492</v>
      </c>
      <c r="Q75" s="31">
        <v>5.5529999999999999</v>
      </c>
      <c r="R75" s="31">
        <v>5.61</v>
      </c>
      <c r="S75" s="31">
        <v>5.6630000000000003</v>
      </c>
      <c r="T75" s="167">
        <v>5.7140000000000004</v>
      </c>
    </row>
    <row r="76" spans="1:20" x14ac:dyDescent="0.25">
      <c r="A76">
        <v>21</v>
      </c>
      <c r="B76" s="166">
        <v>2.9409999999999998</v>
      </c>
      <c r="C76" s="31">
        <v>3.5649999999999999</v>
      </c>
      <c r="D76" s="31">
        <v>3.9420000000000002</v>
      </c>
      <c r="E76" s="31">
        <v>4.2130000000000001</v>
      </c>
      <c r="F76" s="31">
        <v>4.4240000000000004</v>
      </c>
      <c r="G76" s="31">
        <v>4.5970000000000004</v>
      </c>
      <c r="H76" s="31">
        <v>4.7430000000000003</v>
      </c>
      <c r="I76" s="31">
        <v>4.87</v>
      </c>
      <c r="J76" s="31">
        <v>4.9809999999999999</v>
      </c>
      <c r="K76" s="31">
        <v>5.0810000000000004</v>
      </c>
      <c r="L76" s="31">
        <v>5.17</v>
      </c>
      <c r="M76" s="31">
        <v>5.2519999999999998</v>
      </c>
      <c r="N76" s="31">
        <v>5.327</v>
      </c>
      <c r="O76" s="31">
        <v>5.3959999999999999</v>
      </c>
      <c r="P76" s="31">
        <v>5.46</v>
      </c>
      <c r="Q76" s="31">
        <v>5.52</v>
      </c>
      <c r="R76" s="31">
        <v>5.5759999999999996</v>
      </c>
      <c r="S76" s="31">
        <v>5.6289999999999996</v>
      </c>
      <c r="T76" s="167">
        <v>5.6790000000000003</v>
      </c>
    </row>
    <row r="77" spans="1:20" x14ac:dyDescent="0.25">
      <c r="A77">
        <v>22</v>
      </c>
      <c r="B77" s="166">
        <v>2.9329999999999998</v>
      </c>
      <c r="C77" s="31">
        <v>3.5529999999999999</v>
      </c>
      <c r="D77" s="31">
        <v>3.927</v>
      </c>
      <c r="E77" s="31">
        <v>4.1959999999999997</v>
      </c>
      <c r="F77" s="31">
        <v>4.4050000000000002</v>
      </c>
      <c r="G77" s="31">
        <v>4.577</v>
      </c>
      <c r="H77" s="31">
        <v>4.7220000000000004</v>
      </c>
      <c r="I77" s="31">
        <v>4.8470000000000004</v>
      </c>
      <c r="J77" s="31">
        <v>4.9569999999999999</v>
      </c>
      <c r="K77" s="31">
        <v>5.056</v>
      </c>
      <c r="L77" s="31">
        <v>5.1440000000000001</v>
      </c>
      <c r="M77" s="31">
        <v>5.2249999999999996</v>
      </c>
      <c r="N77" s="31">
        <v>5.2990000000000004</v>
      </c>
      <c r="O77" s="31">
        <v>5.3680000000000003</v>
      </c>
      <c r="P77" s="31">
        <v>5.431</v>
      </c>
      <c r="Q77" s="31">
        <v>5.4909999999999997</v>
      </c>
      <c r="R77" s="31">
        <v>5.5460000000000003</v>
      </c>
      <c r="S77" s="31">
        <v>5.5990000000000002</v>
      </c>
      <c r="T77" s="167">
        <v>5.6479999999999997</v>
      </c>
    </row>
    <row r="78" spans="1:20" x14ac:dyDescent="0.25">
      <c r="A78">
        <v>23</v>
      </c>
      <c r="B78" s="166">
        <v>2.9260000000000002</v>
      </c>
      <c r="C78" s="31">
        <v>3.5419999999999998</v>
      </c>
      <c r="D78" s="31">
        <v>3.9140000000000001</v>
      </c>
      <c r="E78" s="31">
        <v>4.18</v>
      </c>
      <c r="F78" s="31">
        <v>4.3879999999999999</v>
      </c>
      <c r="G78" s="31">
        <v>4.5579999999999998</v>
      </c>
      <c r="H78" s="31">
        <v>4.702</v>
      </c>
      <c r="I78" s="31">
        <v>4.8259999999999996</v>
      </c>
      <c r="J78" s="31">
        <v>4.9349999999999996</v>
      </c>
      <c r="K78" s="31">
        <v>5.0330000000000004</v>
      </c>
      <c r="L78" s="31">
        <v>5.1210000000000004</v>
      </c>
      <c r="M78" s="31">
        <v>5.2009999999999996</v>
      </c>
      <c r="N78" s="31">
        <v>5.274</v>
      </c>
      <c r="O78" s="31">
        <v>5.3419999999999996</v>
      </c>
      <c r="P78" s="31">
        <v>5.4050000000000002</v>
      </c>
      <c r="Q78" s="31">
        <v>5.4640000000000004</v>
      </c>
      <c r="R78" s="31">
        <v>5.5190000000000001</v>
      </c>
      <c r="S78" s="31">
        <v>5.5709999999999997</v>
      </c>
      <c r="T78" s="167">
        <v>5.62</v>
      </c>
    </row>
    <row r="79" spans="1:20" x14ac:dyDescent="0.25">
      <c r="A79">
        <v>24</v>
      </c>
      <c r="B79" s="166">
        <v>2.919</v>
      </c>
      <c r="C79" s="31">
        <v>3.532</v>
      </c>
      <c r="D79" s="31">
        <v>3.9009999999999998</v>
      </c>
      <c r="E79" s="31">
        <v>4.1660000000000004</v>
      </c>
      <c r="F79" s="31">
        <v>4.3730000000000002</v>
      </c>
      <c r="G79" s="31">
        <v>4.5410000000000004</v>
      </c>
      <c r="H79" s="31">
        <v>4.6840000000000002</v>
      </c>
      <c r="I79" s="31">
        <v>4.8070000000000004</v>
      </c>
      <c r="J79" s="31">
        <v>4.915</v>
      </c>
      <c r="K79" s="31">
        <v>5.0119999999999996</v>
      </c>
      <c r="L79" s="31">
        <v>5.0990000000000002</v>
      </c>
      <c r="M79" s="31">
        <v>5.1790000000000003</v>
      </c>
      <c r="N79" s="31">
        <v>5.2510000000000003</v>
      </c>
      <c r="O79" s="31">
        <v>5.319</v>
      </c>
      <c r="P79" s="31">
        <v>5.3810000000000002</v>
      </c>
      <c r="Q79" s="31">
        <v>5.4390000000000001</v>
      </c>
      <c r="R79" s="31">
        <v>5.4939999999999998</v>
      </c>
      <c r="S79" s="31">
        <v>5.5449999999999999</v>
      </c>
      <c r="T79" s="167">
        <v>5.5940000000000003</v>
      </c>
    </row>
    <row r="80" spans="1:20" x14ac:dyDescent="0.25">
      <c r="A80">
        <v>25</v>
      </c>
      <c r="B80" s="166">
        <v>2.9129999999999998</v>
      </c>
      <c r="C80" s="31">
        <v>3.5230000000000001</v>
      </c>
      <c r="D80" s="31">
        <v>3.89</v>
      </c>
      <c r="E80" s="31">
        <v>4.1529999999999996</v>
      </c>
      <c r="F80" s="31">
        <v>4.3579999999999997</v>
      </c>
      <c r="G80" s="31">
        <v>4.5259999999999998</v>
      </c>
      <c r="H80" s="31">
        <v>4.6669999999999998</v>
      </c>
      <c r="I80" s="31">
        <v>4.7889999999999997</v>
      </c>
      <c r="J80" s="31">
        <v>4.8970000000000002</v>
      </c>
      <c r="K80" s="31">
        <v>4.9930000000000003</v>
      </c>
      <c r="L80" s="31">
        <v>5.0789999999999997</v>
      </c>
      <c r="M80" s="31">
        <v>5.1580000000000004</v>
      </c>
      <c r="N80" s="31">
        <v>5.23</v>
      </c>
      <c r="O80" s="31">
        <v>5.2969999999999997</v>
      </c>
      <c r="P80" s="31">
        <v>5.359</v>
      </c>
      <c r="Q80" s="31">
        <v>5.4169999999999998</v>
      </c>
      <c r="R80" s="31">
        <v>5.4710000000000001</v>
      </c>
      <c r="S80" s="31">
        <v>5.5220000000000002</v>
      </c>
      <c r="T80" s="167">
        <v>5.57</v>
      </c>
    </row>
    <row r="81" spans="1:20" x14ac:dyDescent="0.25">
      <c r="A81">
        <v>26</v>
      </c>
      <c r="B81" s="166">
        <v>2.907</v>
      </c>
      <c r="C81" s="31">
        <v>3.5139999999999998</v>
      </c>
      <c r="D81" s="31">
        <v>3.88</v>
      </c>
      <c r="E81" s="31">
        <v>4.141</v>
      </c>
      <c r="F81" s="31">
        <v>4.3449999999999998</v>
      </c>
      <c r="G81" s="31">
        <v>4.5110000000000001</v>
      </c>
      <c r="H81" s="31">
        <v>4.6520000000000001</v>
      </c>
      <c r="I81" s="31">
        <v>4.7729999999999997</v>
      </c>
      <c r="J81" s="31">
        <v>4.88</v>
      </c>
      <c r="K81" s="31">
        <v>4.9749999999999996</v>
      </c>
      <c r="L81" s="31">
        <v>5.0609999999999999</v>
      </c>
      <c r="M81" s="31">
        <v>5.1390000000000002</v>
      </c>
      <c r="N81" s="31">
        <v>5.2110000000000003</v>
      </c>
      <c r="O81" s="31">
        <v>5.2770000000000001</v>
      </c>
      <c r="P81" s="31">
        <v>5.3390000000000004</v>
      </c>
      <c r="Q81" s="31">
        <v>5.3959999999999999</v>
      </c>
      <c r="R81" s="31">
        <v>5.45</v>
      </c>
      <c r="S81" s="31">
        <v>5.5</v>
      </c>
      <c r="T81" s="167">
        <v>5.548</v>
      </c>
    </row>
    <row r="82" spans="1:20" x14ac:dyDescent="0.25">
      <c r="A82">
        <v>27</v>
      </c>
      <c r="B82" s="166">
        <v>2.9020000000000001</v>
      </c>
      <c r="C82" s="31">
        <v>3.5059999999999998</v>
      </c>
      <c r="D82" s="31">
        <v>3.87</v>
      </c>
      <c r="E82" s="31">
        <v>4.13</v>
      </c>
      <c r="F82" s="31">
        <v>4.3330000000000002</v>
      </c>
      <c r="G82" s="31">
        <v>4.4980000000000002</v>
      </c>
      <c r="H82" s="31">
        <v>4.6379999999999999</v>
      </c>
      <c r="I82" s="31">
        <v>4.758</v>
      </c>
      <c r="J82" s="31">
        <v>4.8639999999999999</v>
      </c>
      <c r="K82" s="31">
        <v>4.9589999999999996</v>
      </c>
      <c r="L82" s="31">
        <v>5.0439999999999996</v>
      </c>
      <c r="M82" s="31">
        <v>5.1219999999999999</v>
      </c>
      <c r="N82" s="31">
        <v>5.1929999999999996</v>
      </c>
      <c r="O82" s="31">
        <v>5.2590000000000003</v>
      </c>
      <c r="P82" s="31">
        <v>5.32</v>
      </c>
      <c r="Q82" s="31">
        <v>5.3769999999999998</v>
      </c>
      <c r="R82" s="31">
        <v>5.43</v>
      </c>
      <c r="S82" s="31">
        <v>5.48</v>
      </c>
      <c r="T82" s="167">
        <v>5.5279999999999996</v>
      </c>
    </row>
    <row r="83" spans="1:20" x14ac:dyDescent="0.25">
      <c r="A83">
        <v>28</v>
      </c>
      <c r="B83" s="166">
        <v>2.8969999999999998</v>
      </c>
      <c r="C83" s="31">
        <v>3.4990000000000001</v>
      </c>
      <c r="D83" s="31">
        <v>3.8610000000000002</v>
      </c>
      <c r="E83" s="31">
        <v>4.12</v>
      </c>
      <c r="F83" s="31">
        <v>4.3220000000000001</v>
      </c>
      <c r="G83" s="31">
        <v>4.4859999999999998</v>
      </c>
      <c r="H83" s="31">
        <v>4.625</v>
      </c>
      <c r="I83" s="31">
        <v>4.7450000000000001</v>
      </c>
      <c r="J83" s="31">
        <v>4.8499999999999996</v>
      </c>
      <c r="K83" s="31">
        <v>4.944</v>
      </c>
      <c r="L83" s="31">
        <v>5.0289999999999999</v>
      </c>
      <c r="M83" s="31">
        <v>5.1059999999999999</v>
      </c>
      <c r="N83" s="31">
        <v>5.1769999999999996</v>
      </c>
      <c r="O83" s="31">
        <v>5.242</v>
      </c>
      <c r="P83" s="31">
        <v>5.3019999999999996</v>
      </c>
      <c r="Q83" s="31">
        <v>5.359</v>
      </c>
      <c r="R83" s="31">
        <v>5.4119999999999999</v>
      </c>
      <c r="S83" s="31">
        <v>5.4619999999999997</v>
      </c>
      <c r="T83" s="167">
        <v>5.5090000000000003</v>
      </c>
    </row>
    <row r="84" spans="1:20" x14ac:dyDescent="0.25">
      <c r="A84">
        <v>29</v>
      </c>
      <c r="B84" s="166">
        <v>2.8919999999999999</v>
      </c>
      <c r="C84" s="31">
        <v>3.4929999999999999</v>
      </c>
      <c r="D84" s="31">
        <v>3.8530000000000002</v>
      </c>
      <c r="E84" s="31">
        <v>4.1109999999999998</v>
      </c>
      <c r="F84" s="31">
        <v>4.3109999999999999</v>
      </c>
      <c r="G84" s="31">
        <v>4.4749999999999996</v>
      </c>
      <c r="H84" s="31">
        <v>4.6130000000000004</v>
      </c>
      <c r="I84" s="31">
        <v>4.7320000000000002</v>
      </c>
      <c r="J84" s="31">
        <v>4.8369999999999997</v>
      </c>
      <c r="K84" s="31">
        <v>4.93</v>
      </c>
      <c r="L84" s="31">
        <v>5.0140000000000002</v>
      </c>
      <c r="M84" s="31">
        <v>5.0910000000000002</v>
      </c>
      <c r="N84" s="31">
        <v>5.1609999999999996</v>
      </c>
      <c r="O84" s="31">
        <v>5.226</v>
      </c>
      <c r="P84" s="31">
        <v>5.2859999999999996</v>
      </c>
      <c r="Q84" s="31">
        <v>5.3419999999999996</v>
      </c>
      <c r="R84" s="31">
        <v>5.3949999999999996</v>
      </c>
      <c r="S84" s="31">
        <v>5.4450000000000003</v>
      </c>
      <c r="T84" s="167">
        <v>5.4909999999999997</v>
      </c>
    </row>
    <row r="85" spans="1:20" x14ac:dyDescent="0.25">
      <c r="A85">
        <v>30</v>
      </c>
      <c r="B85" s="166">
        <v>2.8879999999999999</v>
      </c>
      <c r="C85" s="31">
        <v>3.4860000000000002</v>
      </c>
      <c r="D85" s="31">
        <v>3.8450000000000002</v>
      </c>
      <c r="E85" s="31">
        <v>4.1020000000000003</v>
      </c>
      <c r="F85" s="31">
        <v>4.3010000000000002</v>
      </c>
      <c r="G85" s="31">
        <v>4.4640000000000004</v>
      </c>
      <c r="H85" s="31">
        <v>4.601</v>
      </c>
      <c r="I85" s="31">
        <v>4.72</v>
      </c>
      <c r="J85" s="31">
        <v>4.8239999999999998</v>
      </c>
      <c r="K85" s="31">
        <v>4.9169999999999998</v>
      </c>
      <c r="L85" s="31">
        <v>5.0010000000000003</v>
      </c>
      <c r="M85" s="31">
        <v>5.077</v>
      </c>
      <c r="N85" s="31">
        <v>5.1470000000000002</v>
      </c>
      <c r="O85" s="31">
        <v>5.2110000000000003</v>
      </c>
      <c r="P85" s="31">
        <v>5.2709999999999999</v>
      </c>
      <c r="Q85" s="31">
        <v>5.327</v>
      </c>
      <c r="R85" s="31">
        <v>5.3789999999999996</v>
      </c>
      <c r="S85" s="31">
        <v>5.4290000000000003</v>
      </c>
      <c r="T85" s="167">
        <v>5.4749999999999996</v>
      </c>
    </row>
    <row r="86" spans="1:20" x14ac:dyDescent="0.25">
      <c r="A86">
        <v>31</v>
      </c>
      <c r="B86" s="166">
        <v>2.8839999999999999</v>
      </c>
      <c r="C86" s="31">
        <v>3.4809999999999999</v>
      </c>
      <c r="D86" s="31">
        <v>3.8380000000000001</v>
      </c>
      <c r="E86" s="31">
        <v>4.0940000000000003</v>
      </c>
      <c r="F86" s="31">
        <v>4.2919999999999998</v>
      </c>
      <c r="G86" s="31">
        <v>4.4539999999999997</v>
      </c>
      <c r="H86" s="31">
        <v>4.5910000000000002</v>
      </c>
      <c r="I86" s="31">
        <v>4.7089999999999996</v>
      </c>
      <c r="J86" s="31">
        <v>4.8120000000000003</v>
      </c>
      <c r="K86" s="31">
        <v>4.9050000000000002</v>
      </c>
      <c r="L86" s="31">
        <v>4.9880000000000004</v>
      </c>
      <c r="M86" s="31">
        <v>5.0640000000000001</v>
      </c>
      <c r="N86" s="31">
        <v>5.1340000000000003</v>
      </c>
      <c r="O86" s="31">
        <v>5.1980000000000004</v>
      </c>
      <c r="P86" s="31">
        <v>5.2569999999999997</v>
      </c>
      <c r="Q86" s="31">
        <v>5.3129999999999997</v>
      </c>
      <c r="R86" s="31">
        <v>5.3650000000000002</v>
      </c>
      <c r="S86" s="31">
        <v>5.4139999999999997</v>
      </c>
      <c r="T86" s="167">
        <v>5.46</v>
      </c>
    </row>
    <row r="87" spans="1:20" x14ac:dyDescent="0.25">
      <c r="A87">
        <v>32</v>
      </c>
      <c r="B87" s="166">
        <v>2.8809999999999998</v>
      </c>
      <c r="C87" s="31">
        <v>3.4750000000000001</v>
      </c>
      <c r="D87" s="31">
        <v>3.8319999999999999</v>
      </c>
      <c r="E87" s="31">
        <v>4.0860000000000003</v>
      </c>
      <c r="F87" s="31">
        <v>4.2839999999999998</v>
      </c>
      <c r="G87" s="31">
        <v>4.4450000000000003</v>
      </c>
      <c r="H87" s="31">
        <v>4.5810000000000004</v>
      </c>
      <c r="I87" s="31">
        <v>4.6980000000000004</v>
      </c>
      <c r="J87" s="31">
        <v>4.8019999999999996</v>
      </c>
      <c r="K87" s="31">
        <v>4.8940000000000001</v>
      </c>
      <c r="L87" s="31">
        <v>4.976</v>
      </c>
      <c r="M87" s="31">
        <v>5.0519999999999996</v>
      </c>
      <c r="N87" s="31">
        <v>5.1210000000000004</v>
      </c>
      <c r="O87" s="31">
        <v>5.1849999999999996</v>
      </c>
      <c r="P87" s="31">
        <v>5.2439999999999998</v>
      </c>
      <c r="Q87" s="31">
        <v>5.2990000000000004</v>
      </c>
      <c r="R87" s="31">
        <v>5.351</v>
      </c>
      <c r="S87" s="31">
        <v>5.4</v>
      </c>
      <c r="T87" s="167">
        <v>5.4450000000000003</v>
      </c>
    </row>
    <row r="88" spans="1:20" x14ac:dyDescent="0.25">
      <c r="A88">
        <v>33</v>
      </c>
      <c r="B88" s="166">
        <v>2.8769999999999998</v>
      </c>
      <c r="C88" s="31">
        <v>3.47</v>
      </c>
      <c r="D88" s="31">
        <v>3.8250000000000002</v>
      </c>
      <c r="E88" s="31">
        <v>4.0789999999999997</v>
      </c>
      <c r="F88" s="31">
        <v>4.2759999999999998</v>
      </c>
      <c r="G88" s="31">
        <v>4.4359999999999999</v>
      </c>
      <c r="H88" s="31">
        <v>4.5720000000000001</v>
      </c>
      <c r="I88" s="31">
        <v>4.6890000000000001</v>
      </c>
      <c r="J88" s="31">
        <v>4.7910000000000004</v>
      </c>
      <c r="K88" s="31">
        <v>4.883</v>
      </c>
      <c r="L88" s="31">
        <v>4.9649999999999999</v>
      </c>
      <c r="M88" s="31">
        <v>5.04</v>
      </c>
      <c r="N88" s="31">
        <v>5.109</v>
      </c>
      <c r="O88" s="31">
        <v>5.173</v>
      </c>
      <c r="P88" s="31">
        <v>5.2320000000000002</v>
      </c>
      <c r="Q88" s="31">
        <v>5.2869999999999999</v>
      </c>
      <c r="R88" s="31">
        <v>5.3380000000000001</v>
      </c>
      <c r="S88" s="31">
        <v>5.3860000000000001</v>
      </c>
      <c r="T88" s="167">
        <v>5.4320000000000004</v>
      </c>
    </row>
    <row r="89" spans="1:20" x14ac:dyDescent="0.25">
      <c r="A89">
        <v>34</v>
      </c>
      <c r="B89" s="166">
        <v>2.8740000000000001</v>
      </c>
      <c r="C89" s="31">
        <v>3.4649999999999999</v>
      </c>
      <c r="D89" s="31">
        <v>3.82</v>
      </c>
      <c r="E89" s="31">
        <v>4.0720000000000001</v>
      </c>
      <c r="F89" s="31">
        <v>4.2679999999999998</v>
      </c>
      <c r="G89" s="31">
        <v>4.4279999999999999</v>
      </c>
      <c r="H89" s="31">
        <v>4.5629999999999997</v>
      </c>
      <c r="I89" s="31">
        <v>4.68</v>
      </c>
      <c r="J89" s="31">
        <v>4.782</v>
      </c>
      <c r="K89" s="31">
        <v>4.8730000000000002</v>
      </c>
      <c r="L89" s="31">
        <v>4.9550000000000001</v>
      </c>
      <c r="M89" s="31">
        <v>5.03</v>
      </c>
      <c r="N89" s="31">
        <v>5.0979999999999999</v>
      </c>
      <c r="O89" s="31">
        <v>5.1609999999999996</v>
      </c>
      <c r="P89" s="31">
        <v>5.22</v>
      </c>
      <c r="Q89" s="31">
        <v>5.2750000000000004</v>
      </c>
      <c r="R89" s="31">
        <v>5.3259999999999996</v>
      </c>
      <c r="S89" s="31">
        <v>5.3739999999999997</v>
      </c>
      <c r="T89" s="167">
        <v>5.42</v>
      </c>
    </row>
    <row r="90" spans="1:20" x14ac:dyDescent="0.25">
      <c r="A90">
        <v>35</v>
      </c>
      <c r="B90" s="166">
        <v>2.871</v>
      </c>
      <c r="C90" s="31">
        <v>3.4609999999999999</v>
      </c>
      <c r="D90" s="31">
        <v>3.8140000000000001</v>
      </c>
      <c r="E90" s="31">
        <v>4.0659999999999998</v>
      </c>
      <c r="F90" s="31">
        <v>4.2610000000000001</v>
      </c>
      <c r="G90" s="31">
        <v>4.4210000000000003</v>
      </c>
      <c r="H90" s="31">
        <v>4.5549999999999997</v>
      </c>
      <c r="I90" s="31">
        <v>4.6710000000000003</v>
      </c>
      <c r="J90" s="31">
        <v>4.7729999999999997</v>
      </c>
      <c r="K90" s="31">
        <v>4.8630000000000004</v>
      </c>
      <c r="L90" s="31">
        <v>4.9450000000000003</v>
      </c>
      <c r="M90" s="31">
        <v>5.0199999999999996</v>
      </c>
      <c r="N90" s="31">
        <v>5.0880000000000001</v>
      </c>
      <c r="O90" s="31">
        <v>5.1509999999999998</v>
      </c>
      <c r="P90" s="31">
        <v>5.2089999999999996</v>
      </c>
      <c r="Q90" s="31">
        <v>5.2640000000000002</v>
      </c>
      <c r="R90" s="31">
        <v>5.3150000000000004</v>
      </c>
      <c r="S90" s="31">
        <v>5.3620000000000001</v>
      </c>
      <c r="T90" s="167">
        <v>5.4080000000000004</v>
      </c>
    </row>
    <row r="91" spans="1:20" x14ac:dyDescent="0.25">
      <c r="A91">
        <v>36</v>
      </c>
      <c r="B91" s="166">
        <v>2.8679999999999999</v>
      </c>
      <c r="C91" s="31">
        <v>3.4569999999999999</v>
      </c>
      <c r="D91" s="31">
        <v>3.8090000000000002</v>
      </c>
      <c r="E91" s="31">
        <v>4.0599999999999996</v>
      </c>
      <c r="F91" s="31">
        <v>4.2549999999999999</v>
      </c>
      <c r="G91" s="31">
        <v>4.4139999999999997</v>
      </c>
      <c r="H91" s="31">
        <v>4.5469999999999997</v>
      </c>
      <c r="I91" s="31">
        <v>4.6630000000000003</v>
      </c>
      <c r="J91" s="31">
        <v>4.7640000000000002</v>
      </c>
      <c r="K91" s="31">
        <v>4.8550000000000004</v>
      </c>
      <c r="L91" s="31">
        <v>4.9359999999999999</v>
      </c>
      <c r="M91" s="31">
        <v>5.01</v>
      </c>
      <c r="N91" s="31">
        <v>5.0780000000000003</v>
      </c>
      <c r="O91" s="31">
        <v>5.141</v>
      </c>
      <c r="P91" s="31">
        <v>5.1989999999999998</v>
      </c>
      <c r="Q91" s="31">
        <v>5.2530000000000001</v>
      </c>
      <c r="R91" s="31">
        <v>5.3040000000000003</v>
      </c>
      <c r="S91" s="31">
        <v>5.3520000000000003</v>
      </c>
      <c r="T91" s="167">
        <v>5.3970000000000002</v>
      </c>
    </row>
    <row r="92" spans="1:20" x14ac:dyDescent="0.25">
      <c r="A92">
        <v>37</v>
      </c>
      <c r="B92" s="166">
        <v>2.8650000000000002</v>
      </c>
      <c r="C92" s="31">
        <v>3.4529999999999998</v>
      </c>
      <c r="D92" s="31">
        <v>3.8039999999999998</v>
      </c>
      <c r="E92" s="31">
        <v>4.0540000000000003</v>
      </c>
      <c r="F92" s="31">
        <v>4.2489999999999997</v>
      </c>
      <c r="G92" s="31">
        <v>4.407</v>
      </c>
      <c r="H92" s="31">
        <v>4.54</v>
      </c>
      <c r="I92" s="31">
        <v>4.6550000000000002</v>
      </c>
      <c r="J92" s="31">
        <v>4.7560000000000002</v>
      </c>
      <c r="K92" s="31">
        <v>4.8460000000000001</v>
      </c>
      <c r="L92" s="31">
        <v>4.9269999999999996</v>
      </c>
      <c r="M92" s="31">
        <v>5.0010000000000003</v>
      </c>
      <c r="N92" s="31">
        <v>5.069</v>
      </c>
      <c r="O92" s="31">
        <v>5.1310000000000002</v>
      </c>
      <c r="P92" s="31">
        <v>5.1890000000000001</v>
      </c>
      <c r="Q92" s="31">
        <v>5.2430000000000003</v>
      </c>
      <c r="R92" s="31">
        <v>5.2939999999999996</v>
      </c>
      <c r="S92" s="31">
        <v>5.3410000000000002</v>
      </c>
      <c r="T92" s="167">
        <v>5.3860000000000001</v>
      </c>
    </row>
    <row r="93" spans="1:20" x14ac:dyDescent="0.25">
      <c r="A93">
        <v>38</v>
      </c>
      <c r="B93" s="166">
        <v>2.863</v>
      </c>
      <c r="C93" s="31">
        <v>3.4489999999999998</v>
      </c>
      <c r="D93" s="31">
        <v>3.7989999999999999</v>
      </c>
      <c r="E93" s="31">
        <v>4.0490000000000004</v>
      </c>
      <c r="F93" s="31">
        <v>4.2430000000000003</v>
      </c>
      <c r="G93" s="31">
        <v>4.4000000000000004</v>
      </c>
      <c r="H93" s="31">
        <v>4.5330000000000004</v>
      </c>
      <c r="I93" s="31">
        <v>4.6479999999999997</v>
      </c>
      <c r="J93" s="31">
        <v>4.7489999999999997</v>
      </c>
      <c r="K93" s="31">
        <v>4.8380000000000001</v>
      </c>
      <c r="L93" s="31">
        <v>4.9189999999999996</v>
      </c>
      <c r="M93" s="31">
        <v>4.9930000000000003</v>
      </c>
      <c r="N93" s="31">
        <v>5.0599999999999996</v>
      </c>
      <c r="O93" s="31">
        <v>5.1219999999999999</v>
      </c>
      <c r="P93" s="31">
        <v>5.18</v>
      </c>
      <c r="Q93" s="31">
        <v>5.234</v>
      </c>
      <c r="R93" s="31">
        <v>5.2839999999999998</v>
      </c>
      <c r="S93" s="31">
        <v>5.3310000000000004</v>
      </c>
      <c r="T93" s="167">
        <v>5.3760000000000003</v>
      </c>
    </row>
    <row r="94" spans="1:20" x14ac:dyDescent="0.25">
      <c r="A94">
        <v>39</v>
      </c>
      <c r="B94" s="166">
        <v>2.8610000000000002</v>
      </c>
      <c r="C94" s="31">
        <v>3.4449999999999998</v>
      </c>
      <c r="D94" s="31">
        <v>3.7949999999999999</v>
      </c>
      <c r="E94" s="31">
        <v>4.0439999999999996</v>
      </c>
      <c r="F94" s="31">
        <v>4.2370000000000001</v>
      </c>
      <c r="G94" s="31">
        <v>4.3940000000000001</v>
      </c>
      <c r="H94" s="31">
        <v>4.5270000000000001</v>
      </c>
      <c r="I94" s="31">
        <v>4.641</v>
      </c>
      <c r="J94" s="31">
        <v>4.7409999999999997</v>
      </c>
      <c r="K94" s="31">
        <v>4.8310000000000004</v>
      </c>
      <c r="L94" s="31">
        <v>4.9109999999999996</v>
      </c>
      <c r="M94" s="31">
        <v>4.9850000000000003</v>
      </c>
      <c r="N94" s="31">
        <v>5.0519999999999996</v>
      </c>
      <c r="O94" s="31">
        <v>5.1139999999999999</v>
      </c>
      <c r="P94" s="31">
        <v>5.1710000000000003</v>
      </c>
      <c r="Q94" s="31">
        <v>5.2249999999999996</v>
      </c>
      <c r="R94" s="31">
        <v>5.2750000000000004</v>
      </c>
      <c r="S94" s="31">
        <v>5.3220000000000001</v>
      </c>
      <c r="T94" s="167">
        <v>5.367</v>
      </c>
    </row>
    <row r="95" spans="1:20" x14ac:dyDescent="0.25">
      <c r="A95">
        <v>40</v>
      </c>
      <c r="B95" s="166">
        <v>2.8580000000000001</v>
      </c>
      <c r="C95" s="31">
        <v>3.4420000000000002</v>
      </c>
      <c r="D95" s="31">
        <v>3.7909999999999999</v>
      </c>
      <c r="E95" s="31">
        <v>4.0389999999999997</v>
      </c>
      <c r="F95" s="31">
        <v>4.2320000000000002</v>
      </c>
      <c r="G95" s="31">
        <v>4.3879999999999999</v>
      </c>
      <c r="H95" s="31">
        <v>4.5209999999999999</v>
      </c>
      <c r="I95" s="31">
        <v>4.6340000000000003</v>
      </c>
      <c r="J95" s="31">
        <v>4.7350000000000003</v>
      </c>
      <c r="K95" s="31">
        <v>4.8239999999999998</v>
      </c>
      <c r="L95" s="31">
        <v>4.9039999999999999</v>
      </c>
      <c r="M95" s="31">
        <v>4.9770000000000003</v>
      </c>
      <c r="N95" s="31">
        <v>5.0439999999999996</v>
      </c>
      <c r="O95" s="31">
        <v>5.1059999999999999</v>
      </c>
      <c r="P95" s="31">
        <v>5.1630000000000003</v>
      </c>
      <c r="Q95" s="31">
        <v>5.2160000000000002</v>
      </c>
      <c r="R95" s="31">
        <v>5.266</v>
      </c>
      <c r="S95" s="31">
        <v>5.3129999999999997</v>
      </c>
      <c r="T95" s="167">
        <v>5.3579999999999997</v>
      </c>
    </row>
    <row r="96" spans="1:20" x14ac:dyDescent="0.25">
      <c r="A96">
        <v>48</v>
      </c>
      <c r="B96" s="166">
        <v>2.843</v>
      </c>
      <c r="C96" s="31">
        <v>3.42</v>
      </c>
      <c r="D96" s="31">
        <v>3.7639999999999998</v>
      </c>
      <c r="E96" s="31">
        <v>4.008</v>
      </c>
      <c r="F96" s="31">
        <v>4.1970000000000001</v>
      </c>
      <c r="G96" s="31">
        <v>4.351</v>
      </c>
      <c r="H96" s="31">
        <v>4.4809999999999999</v>
      </c>
      <c r="I96" s="31">
        <v>4.5919999999999996</v>
      </c>
      <c r="J96" s="31">
        <v>4.6900000000000004</v>
      </c>
      <c r="K96" s="31">
        <v>4.7770000000000001</v>
      </c>
      <c r="L96" s="31">
        <v>4.8559999999999999</v>
      </c>
      <c r="M96" s="31">
        <v>4.9269999999999996</v>
      </c>
      <c r="N96" s="31">
        <v>4.9930000000000003</v>
      </c>
      <c r="O96" s="31">
        <v>5.0529999999999999</v>
      </c>
      <c r="P96" s="31">
        <v>5.109</v>
      </c>
      <c r="Q96" s="31">
        <v>5.1609999999999996</v>
      </c>
      <c r="R96" s="31">
        <v>5.21</v>
      </c>
      <c r="S96" s="31">
        <v>5.2560000000000002</v>
      </c>
      <c r="T96" s="167">
        <v>5.2990000000000004</v>
      </c>
    </row>
    <row r="97" spans="1:20" x14ac:dyDescent="0.25">
      <c r="A97">
        <v>60</v>
      </c>
      <c r="B97" s="166">
        <v>2.8290000000000002</v>
      </c>
      <c r="C97" s="31">
        <v>3.399</v>
      </c>
      <c r="D97" s="31">
        <v>3.7370000000000001</v>
      </c>
      <c r="E97" s="31">
        <v>3.9769999999999999</v>
      </c>
      <c r="F97" s="31">
        <v>4.1630000000000003</v>
      </c>
      <c r="G97" s="31">
        <v>4.3140000000000001</v>
      </c>
      <c r="H97" s="31">
        <v>4.4409999999999998</v>
      </c>
      <c r="I97" s="31">
        <v>4.55</v>
      </c>
      <c r="J97" s="31">
        <v>4.6459999999999999</v>
      </c>
      <c r="K97" s="31">
        <v>4.7320000000000002</v>
      </c>
      <c r="L97" s="31">
        <v>4.8079999999999998</v>
      </c>
      <c r="M97" s="31">
        <v>4.8780000000000001</v>
      </c>
      <c r="N97" s="31">
        <v>4.9420000000000002</v>
      </c>
      <c r="O97" s="31">
        <v>5.0010000000000003</v>
      </c>
      <c r="P97" s="31">
        <v>5.056</v>
      </c>
      <c r="Q97" s="31">
        <v>5.1070000000000002</v>
      </c>
      <c r="R97" s="31">
        <v>5.1539999999999999</v>
      </c>
      <c r="S97" s="31">
        <v>5.1989999999999998</v>
      </c>
      <c r="T97" s="167">
        <v>5.2409999999999997</v>
      </c>
    </row>
    <row r="98" spans="1:20" x14ac:dyDescent="0.25">
      <c r="A98">
        <v>80</v>
      </c>
      <c r="B98" s="166">
        <v>2.8140000000000001</v>
      </c>
      <c r="C98" s="31">
        <v>3.3769999999999998</v>
      </c>
      <c r="D98" s="31">
        <v>3.7109999999999999</v>
      </c>
      <c r="E98" s="31">
        <v>3.9470000000000001</v>
      </c>
      <c r="F98" s="31">
        <v>4.1289999999999996</v>
      </c>
      <c r="G98" s="31">
        <v>4.2770000000000001</v>
      </c>
      <c r="H98" s="31">
        <v>4.4020000000000001</v>
      </c>
      <c r="I98" s="31">
        <v>4.5090000000000003</v>
      </c>
      <c r="J98" s="31">
        <v>4.6029999999999998</v>
      </c>
      <c r="K98" s="31">
        <v>4.6859999999999999</v>
      </c>
      <c r="L98" s="31">
        <v>4.7610000000000001</v>
      </c>
      <c r="M98" s="31">
        <v>4.8289999999999997</v>
      </c>
      <c r="N98" s="31">
        <v>4.8920000000000003</v>
      </c>
      <c r="O98" s="31">
        <v>4.9489999999999998</v>
      </c>
      <c r="P98" s="31">
        <v>5.0030000000000001</v>
      </c>
      <c r="Q98" s="31">
        <v>5.0519999999999996</v>
      </c>
      <c r="R98" s="31">
        <v>5.0990000000000002</v>
      </c>
      <c r="S98" s="31">
        <v>5.1420000000000003</v>
      </c>
      <c r="T98" s="167">
        <v>5.1829999999999998</v>
      </c>
    </row>
    <row r="99" spans="1:20" x14ac:dyDescent="0.25">
      <c r="A99">
        <v>120</v>
      </c>
      <c r="B99" s="166">
        <v>2.8</v>
      </c>
      <c r="C99" s="31">
        <v>3.3559999999999999</v>
      </c>
      <c r="D99" s="31">
        <v>3.6850000000000001</v>
      </c>
      <c r="E99" s="31">
        <v>3.9169999999999998</v>
      </c>
      <c r="F99" s="31">
        <v>4.0960000000000001</v>
      </c>
      <c r="G99" s="31">
        <v>4.2409999999999997</v>
      </c>
      <c r="H99" s="31">
        <v>4.3630000000000004</v>
      </c>
      <c r="I99" s="31">
        <v>4.468</v>
      </c>
      <c r="J99" s="31">
        <v>4.5599999999999996</v>
      </c>
      <c r="K99" s="31">
        <v>4.641</v>
      </c>
      <c r="L99" s="31">
        <v>4.7140000000000004</v>
      </c>
      <c r="M99" s="31">
        <v>4.7809999999999997</v>
      </c>
      <c r="N99" s="31">
        <v>4.8419999999999996</v>
      </c>
      <c r="O99" s="31">
        <v>4.8979999999999997</v>
      </c>
      <c r="P99" s="31">
        <v>4.95</v>
      </c>
      <c r="Q99" s="31">
        <v>4.9980000000000002</v>
      </c>
      <c r="R99" s="31">
        <v>5.0430000000000001</v>
      </c>
      <c r="S99" s="31">
        <v>5.0860000000000003</v>
      </c>
      <c r="T99" s="167">
        <v>5.1260000000000003</v>
      </c>
    </row>
    <row r="100" spans="1:20" x14ac:dyDescent="0.25">
      <c r="A100">
        <v>240</v>
      </c>
      <c r="B100" s="166">
        <v>2.786</v>
      </c>
      <c r="C100" s="31">
        <v>3.335</v>
      </c>
      <c r="D100" s="31">
        <v>3.6589999999999998</v>
      </c>
      <c r="E100" s="31">
        <v>3.887</v>
      </c>
      <c r="F100" s="31">
        <v>4.0629999999999997</v>
      </c>
      <c r="G100" s="31">
        <v>4.2050000000000001</v>
      </c>
      <c r="H100" s="31">
        <v>4.3239999999999998</v>
      </c>
      <c r="I100" s="31">
        <v>4.4269999999999996</v>
      </c>
      <c r="J100" s="31">
        <v>4.5170000000000003</v>
      </c>
      <c r="K100" s="31">
        <v>4.5960000000000001</v>
      </c>
      <c r="L100" s="31">
        <v>4.6680000000000001</v>
      </c>
      <c r="M100" s="31">
        <v>4.7329999999999997</v>
      </c>
      <c r="N100" s="31">
        <v>4.7919999999999998</v>
      </c>
      <c r="O100" s="31">
        <v>4.8470000000000004</v>
      </c>
      <c r="P100" s="31">
        <v>4.8970000000000002</v>
      </c>
      <c r="Q100" s="31">
        <v>4.944</v>
      </c>
      <c r="R100" s="31">
        <v>4.9880000000000004</v>
      </c>
      <c r="S100" s="31">
        <v>5.03</v>
      </c>
      <c r="T100" s="167">
        <v>5.069</v>
      </c>
    </row>
    <row r="101" spans="1:20" x14ac:dyDescent="0.25">
      <c r="A101" s="12" t="s">
        <v>56</v>
      </c>
      <c r="B101" s="168">
        <v>2.7719999999999998</v>
      </c>
      <c r="C101" s="218">
        <v>3.3140000000000001</v>
      </c>
      <c r="D101" s="218">
        <v>3.633</v>
      </c>
      <c r="E101" s="218">
        <v>3.8580000000000001</v>
      </c>
      <c r="F101" s="218">
        <v>4.03</v>
      </c>
      <c r="G101" s="218">
        <v>4.17</v>
      </c>
      <c r="H101" s="218">
        <v>4.2859999999999996</v>
      </c>
      <c r="I101" s="218">
        <v>4.3869999999999996</v>
      </c>
      <c r="J101" s="218">
        <v>4.4740000000000002</v>
      </c>
      <c r="K101" s="218">
        <v>4.5519999999999996</v>
      </c>
      <c r="L101" s="218">
        <v>4.6219999999999999</v>
      </c>
      <c r="M101" s="218">
        <v>4.6849999999999996</v>
      </c>
      <c r="N101" s="218">
        <v>4.7430000000000003</v>
      </c>
      <c r="O101" s="218">
        <v>4.7960000000000003</v>
      </c>
      <c r="P101" s="218">
        <v>4.8449999999999998</v>
      </c>
      <c r="Q101" s="218">
        <v>4.891</v>
      </c>
      <c r="R101" s="218">
        <v>4.9340000000000002</v>
      </c>
      <c r="S101" s="218">
        <v>4.9740000000000002</v>
      </c>
      <c r="T101" s="169">
        <v>5.0119999999999996</v>
      </c>
    </row>
    <row r="103" spans="1:20" x14ac:dyDescent="0.25">
      <c r="B103" t="s">
        <v>17</v>
      </c>
      <c r="C103">
        <v>0.01</v>
      </c>
    </row>
    <row r="104" spans="1:20" x14ac:dyDescent="0.25">
      <c r="B104" t="s">
        <v>55</v>
      </c>
    </row>
    <row r="105" spans="1:20" x14ac:dyDescent="0.25">
      <c r="A105" s="12" t="s">
        <v>37</v>
      </c>
      <c r="B105">
        <v>2</v>
      </c>
      <c r="C105">
        <v>3</v>
      </c>
      <c r="D105">
        <v>4</v>
      </c>
      <c r="E105">
        <v>5</v>
      </c>
      <c r="F105">
        <v>6</v>
      </c>
      <c r="G105">
        <v>7</v>
      </c>
      <c r="H105">
        <v>8</v>
      </c>
      <c r="I105">
        <v>9</v>
      </c>
      <c r="J105">
        <v>10</v>
      </c>
      <c r="K105">
        <v>11</v>
      </c>
      <c r="L105">
        <v>12</v>
      </c>
      <c r="M105">
        <v>13</v>
      </c>
      <c r="N105">
        <v>14</v>
      </c>
      <c r="O105">
        <v>15</v>
      </c>
      <c r="P105">
        <v>16</v>
      </c>
      <c r="Q105">
        <v>17</v>
      </c>
      <c r="R105">
        <v>18</v>
      </c>
      <c r="S105">
        <v>19</v>
      </c>
      <c r="T105">
        <v>20</v>
      </c>
    </row>
    <row r="106" spans="1:20" x14ac:dyDescent="0.25">
      <c r="A106">
        <v>1</v>
      </c>
      <c r="B106" s="258">
        <v>90.024000000000001</v>
      </c>
      <c r="C106" s="217">
        <v>135.041</v>
      </c>
      <c r="D106" s="217">
        <v>164.25800000000001</v>
      </c>
      <c r="E106" s="217">
        <v>185.57499999999999</v>
      </c>
      <c r="F106" s="217">
        <v>202.21</v>
      </c>
      <c r="G106" s="217">
        <v>215.76900000000001</v>
      </c>
      <c r="H106" s="217">
        <v>227.166</v>
      </c>
      <c r="I106" s="217">
        <v>236.96600000000001</v>
      </c>
      <c r="J106" s="217">
        <v>245.542</v>
      </c>
      <c r="K106" s="217">
        <v>253.15100000000001</v>
      </c>
      <c r="L106" s="217">
        <v>259.97899999999998</v>
      </c>
      <c r="M106" s="217">
        <v>266.16500000000002</v>
      </c>
      <c r="N106" s="217">
        <v>271.81200000000001</v>
      </c>
      <c r="O106" s="217">
        <v>277.00299999999999</v>
      </c>
      <c r="P106" s="217">
        <v>281.803</v>
      </c>
      <c r="Q106" s="217">
        <v>286.26299999999998</v>
      </c>
      <c r="R106" s="217">
        <v>290.42599999999999</v>
      </c>
      <c r="S106" s="217">
        <v>294.32799999999997</v>
      </c>
      <c r="T106" s="259">
        <v>297.99700000000001</v>
      </c>
    </row>
    <row r="107" spans="1:20" x14ac:dyDescent="0.25">
      <c r="A107">
        <v>2</v>
      </c>
      <c r="B107" s="166">
        <v>14.036</v>
      </c>
      <c r="C107" s="31">
        <v>19.018999999999998</v>
      </c>
      <c r="D107" s="31">
        <v>22.294</v>
      </c>
      <c r="E107" s="31">
        <v>24.716999999999999</v>
      </c>
      <c r="F107" s="31">
        <v>26.629000000000001</v>
      </c>
      <c r="G107" s="31">
        <v>28.201000000000001</v>
      </c>
      <c r="H107" s="31">
        <v>29.53</v>
      </c>
      <c r="I107" s="31">
        <v>30.678999999999998</v>
      </c>
      <c r="J107" s="31">
        <v>31.689</v>
      </c>
      <c r="K107" s="31">
        <v>32.588999999999999</v>
      </c>
      <c r="L107" s="31">
        <v>33.398000000000003</v>
      </c>
      <c r="M107" s="31">
        <v>34.134</v>
      </c>
      <c r="N107" s="31">
        <v>34.805999999999997</v>
      </c>
      <c r="O107" s="31">
        <v>35.426000000000002</v>
      </c>
      <c r="P107" s="31">
        <v>36</v>
      </c>
      <c r="Q107" s="31">
        <v>36.533999999999999</v>
      </c>
      <c r="R107" s="31">
        <v>37.033999999999999</v>
      </c>
      <c r="S107" s="31">
        <v>37.502000000000002</v>
      </c>
      <c r="T107" s="167">
        <v>37.942999999999998</v>
      </c>
    </row>
    <row r="108" spans="1:20" x14ac:dyDescent="0.25">
      <c r="A108">
        <v>3</v>
      </c>
      <c r="B108" s="166">
        <v>8.26</v>
      </c>
      <c r="C108" s="31">
        <v>10.619</v>
      </c>
      <c r="D108" s="31">
        <v>12.17</v>
      </c>
      <c r="E108" s="31">
        <v>13.324</v>
      </c>
      <c r="F108" s="31">
        <v>14.241</v>
      </c>
      <c r="G108" s="31">
        <v>14.997999999999999</v>
      </c>
      <c r="H108" s="31">
        <v>15.641</v>
      </c>
      <c r="I108" s="31">
        <v>16.199000000000002</v>
      </c>
      <c r="J108" s="31">
        <v>16.690999999999999</v>
      </c>
      <c r="K108" s="31">
        <v>17.13</v>
      </c>
      <c r="L108" s="31">
        <v>17.526</v>
      </c>
      <c r="M108" s="31">
        <v>17.887</v>
      </c>
      <c r="N108" s="31">
        <v>18.216999999999999</v>
      </c>
      <c r="O108" s="31">
        <v>18.521999999999998</v>
      </c>
      <c r="P108" s="31">
        <v>18.805</v>
      </c>
      <c r="Q108" s="31">
        <v>19.068000000000001</v>
      </c>
      <c r="R108" s="31">
        <v>19.315000000000001</v>
      </c>
      <c r="S108" s="31">
        <v>19.545999999999999</v>
      </c>
      <c r="T108" s="167">
        <v>19.765000000000001</v>
      </c>
    </row>
    <row r="109" spans="1:20" x14ac:dyDescent="0.25">
      <c r="A109">
        <v>4</v>
      </c>
      <c r="B109" s="166">
        <v>6.5110000000000001</v>
      </c>
      <c r="C109" s="31">
        <v>8.1199999999999992</v>
      </c>
      <c r="D109" s="31">
        <v>9.173</v>
      </c>
      <c r="E109" s="31">
        <v>9.9580000000000002</v>
      </c>
      <c r="F109" s="31">
        <v>10.583</v>
      </c>
      <c r="G109" s="31">
        <v>11.101000000000001</v>
      </c>
      <c r="H109" s="31">
        <v>11.542</v>
      </c>
      <c r="I109" s="31">
        <v>11.925000000000001</v>
      </c>
      <c r="J109" s="31">
        <v>12.263999999999999</v>
      </c>
      <c r="K109" s="31">
        <v>12.567</v>
      </c>
      <c r="L109" s="31">
        <v>12.84</v>
      </c>
      <c r="M109" s="31">
        <v>13.09</v>
      </c>
      <c r="N109" s="31">
        <v>13.318</v>
      </c>
      <c r="O109" s="31">
        <v>13.53</v>
      </c>
      <c r="P109" s="31">
        <v>13.726000000000001</v>
      </c>
      <c r="Q109" s="31">
        <v>13.909000000000001</v>
      </c>
      <c r="R109" s="31">
        <v>14.081</v>
      </c>
      <c r="S109" s="31">
        <v>14.242000000000001</v>
      </c>
      <c r="T109" s="167">
        <v>14.394</v>
      </c>
    </row>
    <row r="110" spans="1:20" x14ac:dyDescent="0.25">
      <c r="A110">
        <v>5</v>
      </c>
      <c r="B110" s="166">
        <v>5.702</v>
      </c>
      <c r="C110" s="31">
        <v>6.976</v>
      </c>
      <c r="D110" s="31">
        <v>7.8040000000000003</v>
      </c>
      <c r="E110" s="31">
        <v>8.4209999999999994</v>
      </c>
      <c r="F110" s="31">
        <v>8.9130000000000003</v>
      </c>
      <c r="G110" s="31">
        <v>9.3209999999999997</v>
      </c>
      <c r="H110" s="31">
        <v>9.6690000000000005</v>
      </c>
      <c r="I110" s="31">
        <v>9.9710000000000001</v>
      </c>
      <c r="J110" s="31">
        <v>10.239000000000001</v>
      </c>
      <c r="K110" s="31">
        <v>10.478999999999999</v>
      </c>
      <c r="L110" s="31">
        <v>10.696</v>
      </c>
      <c r="M110" s="31">
        <v>10.894</v>
      </c>
      <c r="N110" s="31">
        <v>11.076000000000001</v>
      </c>
      <c r="O110" s="31">
        <v>11.244</v>
      </c>
      <c r="P110" s="31">
        <v>11.4</v>
      </c>
      <c r="Q110" s="31">
        <v>11.545</v>
      </c>
      <c r="R110" s="31">
        <v>11.682</v>
      </c>
      <c r="S110" s="31">
        <v>11.811</v>
      </c>
      <c r="T110" s="167">
        <v>11.932</v>
      </c>
    </row>
    <row r="111" spans="1:20" x14ac:dyDescent="0.25">
      <c r="A111">
        <v>6</v>
      </c>
      <c r="B111" s="166">
        <v>5.2430000000000003</v>
      </c>
      <c r="C111" s="31">
        <v>6.3310000000000004</v>
      </c>
      <c r="D111" s="31">
        <v>7.0330000000000004</v>
      </c>
      <c r="E111" s="31">
        <v>7.556</v>
      </c>
      <c r="F111" s="31">
        <v>7.9720000000000004</v>
      </c>
      <c r="G111" s="31">
        <v>8.3179999999999996</v>
      </c>
      <c r="H111" s="31">
        <v>8.6120000000000001</v>
      </c>
      <c r="I111" s="31">
        <v>8.8689999999999998</v>
      </c>
      <c r="J111" s="31">
        <v>9.0969999999999995</v>
      </c>
      <c r="K111" s="31">
        <v>9.3000000000000007</v>
      </c>
      <c r="L111" s="31">
        <v>9.4849999999999994</v>
      </c>
      <c r="M111" s="31">
        <v>9.6530000000000005</v>
      </c>
      <c r="N111" s="31">
        <v>9.8079999999999998</v>
      </c>
      <c r="O111" s="31">
        <v>9.9510000000000005</v>
      </c>
      <c r="P111" s="31">
        <v>10.084</v>
      </c>
      <c r="Q111" s="31">
        <v>10.208</v>
      </c>
      <c r="R111" s="31">
        <v>10.324999999999999</v>
      </c>
      <c r="S111" s="31">
        <v>10.433999999999999</v>
      </c>
      <c r="T111" s="167">
        <v>10.538</v>
      </c>
    </row>
    <row r="112" spans="1:20" x14ac:dyDescent="0.25">
      <c r="A112">
        <v>7</v>
      </c>
      <c r="B112" s="166">
        <v>4.9489999999999998</v>
      </c>
      <c r="C112" s="31">
        <v>5.9189999999999996</v>
      </c>
      <c r="D112" s="31">
        <v>6.5419999999999998</v>
      </c>
      <c r="E112" s="31">
        <v>7.0049999999999999</v>
      </c>
      <c r="F112" s="31">
        <v>7.3730000000000002</v>
      </c>
      <c r="G112" s="31">
        <v>7.6779999999999999</v>
      </c>
      <c r="H112" s="31">
        <v>7.9390000000000001</v>
      </c>
      <c r="I112" s="31">
        <v>8.1660000000000004</v>
      </c>
      <c r="J112" s="31">
        <v>8.3670000000000009</v>
      </c>
      <c r="K112" s="31">
        <v>8.548</v>
      </c>
      <c r="L112" s="31">
        <v>8.7110000000000003</v>
      </c>
      <c r="M112" s="31">
        <v>8.86</v>
      </c>
      <c r="N112" s="31">
        <v>8.9969999999999999</v>
      </c>
      <c r="O112" s="31">
        <v>9.1240000000000006</v>
      </c>
      <c r="P112" s="31">
        <v>9.2420000000000009</v>
      </c>
      <c r="Q112" s="31">
        <v>9.3529999999999998</v>
      </c>
      <c r="R112" s="31">
        <v>9.4559999999999995</v>
      </c>
      <c r="S112" s="31">
        <v>9.5530000000000008</v>
      </c>
      <c r="T112" s="167">
        <v>9.6449999999999996</v>
      </c>
    </row>
    <row r="113" spans="1:20" x14ac:dyDescent="0.25">
      <c r="A113">
        <v>8</v>
      </c>
      <c r="B113" s="166">
        <v>4.7450000000000001</v>
      </c>
      <c r="C113" s="31">
        <v>5.6349999999999998</v>
      </c>
      <c r="D113" s="31">
        <v>6.2039999999999997</v>
      </c>
      <c r="E113" s="31">
        <v>6.625</v>
      </c>
      <c r="F113" s="31">
        <v>6.9589999999999996</v>
      </c>
      <c r="G113" s="31">
        <v>7.2370000000000001</v>
      </c>
      <c r="H113" s="31">
        <v>7.4740000000000002</v>
      </c>
      <c r="I113" s="31">
        <v>7.68</v>
      </c>
      <c r="J113" s="31">
        <v>7.8630000000000004</v>
      </c>
      <c r="K113" s="31">
        <v>8.0269999999999992</v>
      </c>
      <c r="L113" s="31">
        <v>8.1760000000000002</v>
      </c>
      <c r="M113" s="31">
        <v>8.3109999999999999</v>
      </c>
      <c r="N113" s="31">
        <v>8.4359999999999999</v>
      </c>
      <c r="O113" s="31">
        <v>8.5519999999999996</v>
      </c>
      <c r="P113" s="31">
        <v>8.6590000000000007</v>
      </c>
      <c r="Q113" s="31">
        <v>8.76</v>
      </c>
      <c r="R113" s="31">
        <v>8.8539999999999992</v>
      </c>
      <c r="S113" s="31">
        <v>8.9429999999999996</v>
      </c>
      <c r="T113" s="167">
        <v>9.0269999999999992</v>
      </c>
    </row>
    <row r="114" spans="1:20" x14ac:dyDescent="0.25">
      <c r="A114">
        <v>9</v>
      </c>
      <c r="B114" s="166">
        <v>4.5960000000000001</v>
      </c>
      <c r="C114" s="31">
        <v>5.4279999999999999</v>
      </c>
      <c r="D114" s="31">
        <v>5.9569999999999999</v>
      </c>
      <c r="E114" s="31">
        <v>6.3470000000000004</v>
      </c>
      <c r="F114" s="31">
        <v>6.657</v>
      </c>
      <c r="G114" s="31">
        <v>6.915</v>
      </c>
      <c r="H114" s="31">
        <v>7.1340000000000003</v>
      </c>
      <c r="I114" s="31">
        <v>7.3250000000000002</v>
      </c>
      <c r="J114" s="31">
        <v>7.4939999999999998</v>
      </c>
      <c r="K114" s="31">
        <v>7.6459999999999999</v>
      </c>
      <c r="L114" s="31">
        <v>7.7839999999999998</v>
      </c>
      <c r="M114" s="31">
        <v>7.91</v>
      </c>
      <c r="N114" s="31">
        <v>8.0250000000000004</v>
      </c>
      <c r="O114" s="31">
        <v>8.1319999999999997</v>
      </c>
      <c r="P114" s="31">
        <v>8.2319999999999993</v>
      </c>
      <c r="Q114" s="31">
        <v>8.3249999999999993</v>
      </c>
      <c r="R114" s="31">
        <v>8.4120000000000008</v>
      </c>
      <c r="S114" s="31">
        <v>8.4949999999999992</v>
      </c>
      <c r="T114" s="167">
        <v>8.5730000000000004</v>
      </c>
    </row>
    <row r="115" spans="1:20" x14ac:dyDescent="0.25">
      <c r="A115">
        <v>10</v>
      </c>
      <c r="B115" s="166">
        <v>4.4820000000000002</v>
      </c>
      <c r="C115" s="31">
        <v>5.27</v>
      </c>
      <c r="D115" s="31">
        <v>5.7690000000000001</v>
      </c>
      <c r="E115" s="31">
        <v>6.1360000000000001</v>
      </c>
      <c r="F115" s="31">
        <v>6.4279999999999999</v>
      </c>
      <c r="G115" s="31">
        <v>6.6689999999999996</v>
      </c>
      <c r="H115" s="31">
        <v>6.875</v>
      </c>
      <c r="I115" s="31">
        <v>7.0540000000000003</v>
      </c>
      <c r="J115" s="31">
        <v>7.2130000000000001</v>
      </c>
      <c r="K115" s="31">
        <v>7.3559999999999999</v>
      </c>
      <c r="L115" s="31">
        <v>7.4850000000000003</v>
      </c>
      <c r="M115" s="31">
        <v>7.6029999999999998</v>
      </c>
      <c r="N115" s="31">
        <v>7.7119999999999997</v>
      </c>
      <c r="O115" s="31">
        <v>7.8120000000000003</v>
      </c>
      <c r="P115" s="31">
        <v>7.9059999999999997</v>
      </c>
      <c r="Q115" s="31">
        <v>7.9930000000000003</v>
      </c>
      <c r="R115" s="31">
        <v>8.0749999999999993</v>
      </c>
      <c r="S115" s="31">
        <v>8.1530000000000005</v>
      </c>
      <c r="T115" s="167">
        <v>8.2260000000000009</v>
      </c>
    </row>
    <row r="116" spans="1:20" x14ac:dyDescent="0.25">
      <c r="A116">
        <v>11</v>
      </c>
      <c r="B116" s="166">
        <v>4.3920000000000003</v>
      </c>
      <c r="C116" s="31">
        <v>5.1459999999999999</v>
      </c>
      <c r="D116" s="31">
        <v>5.6210000000000004</v>
      </c>
      <c r="E116" s="31">
        <v>5.97</v>
      </c>
      <c r="F116" s="31">
        <v>6.2469999999999999</v>
      </c>
      <c r="G116" s="31">
        <v>6.476</v>
      </c>
      <c r="H116" s="31">
        <v>6.6710000000000003</v>
      </c>
      <c r="I116" s="31">
        <v>6.8410000000000002</v>
      </c>
      <c r="J116" s="31">
        <v>6.992</v>
      </c>
      <c r="K116" s="31">
        <v>7.1269999999999998</v>
      </c>
      <c r="L116" s="31">
        <v>7.25</v>
      </c>
      <c r="M116" s="31">
        <v>7.3620000000000001</v>
      </c>
      <c r="N116" s="31">
        <v>7.4640000000000004</v>
      </c>
      <c r="O116" s="31">
        <v>7.56</v>
      </c>
      <c r="P116" s="31">
        <v>7.6479999999999997</v>
      </c>
      <c r="Q116" s="31">
        <v>7.7309999999999999</v>
      </c>
      <c r="R116" s="31">
        <v>7.8090000000000002</v>
      </c>
      <c r="S116" s="31">
        <v>7.883</v>
      </c>
      <c r="T116" s="167">
        <v>7.952</v>
      </c>
    </row>
    <row r="117" spans="1:20" x14ac:dyDescent="0.25">
      <c r="A117">
        <v>12</v>
      </c>
      <c r="B117" s="166">
        <v>4.32</v>
      </c>
      <c r="C117" s="31">
        <v>5.0460000000000003</v>
      </c>
      <c r="D117" s="31">
        <v>5.5019999999999998</v>
      </c>
      <c r="E117" s="31">
        <v>5.8360000000000003</v>
      </c>
      <c r="F117" s="31">
        <v>6.101</v>
      </c>
      <c r="G117" s="31">
        <v>6.32</v>
      </c>
      <c r="H117" s="31">
        <v>6.5069999999999997</v>
      </c>
      <c r="I117" s="31">
        <v>6.67</v>
      </c>
      <c r="J117" s="31">
        <v>6.8140000000000001</v>
      </c>
      <c r="K117" s="31">
        <v>6.9429999999999996</v>
      </c>
      <c r="L117" s="31">
        <v>7.06</v>
      </c>
      <c r="M117" s="31">
        <v>7.1660000000000004</v>
      </c>
      <c r="N117" s="31">
        <v>7.2649999999999997</v>
      </c>
      <c r="O117" s="31">
        <v>7.3559999999999999</v>
      </c>
      <c r="P117" s="31">
        <v>7.4409999999999998</v>
      </c>
      <c r="Q117" s="31">
        <v>7.52</v>
      </c>
      <c r="R117" s="31">
        <v>7.5940000000000003</v>
      </c>
      <c r="S117" s="31">
        <v>7.6639999999999997</v>
      </c>
      <c r="T117" s="167">
        <v>7.73</v>
      </c>
    </row>
    <row r="118" spans="1:20" x14ac:dyDescent="0.25">
      <c r="A118">
        <v>13</v>
      </c>
      <c r="B118" s="166">
        <v>4.26</v>
      </c>
      <c r="C118" s="31">
        <v>4.9640000000000004</v>
      </c>
      <c r="D118" s="31">
        <v>5.4039999999999999</v>
      </c>
      <c r="E118" s="31">
        <v>5.726</v>
      </c>
      <c r="F118" s="31">
        <v>5.9809999999999999</v>
      </c>
      <c r="G118" s="31">
        <v>6.1920000000000002</v>
      </c>
      <c r="H118" s="31">
        <v>6.3719999999999999</v>
      </c>
      <c r="I118" s="31">
        <v>6.5279999999999996</v>
      </c>
      <c r="J118" s="31">
        <v>6.6660000000000004</v>
      </c>
      <c r="K118" s="31">
        <v>6.7910000000000004</v>
      </c>
      <c r="L118" s="31">
        <v>6.9029999999999996</v>
      </c>
      <c r="M118" s="31">
        <v>7.0060000000000002</v>
      </c>
      <c r="N118" s="31">
        <v>7.1</v>
      </c>
      <c r="O118" s="31">
        <v>7.1879999999999997</v>
      </c>
      <c r="P118" s="31">
        <v>7.2690000000000001</v>
      </c>
      <c r="Q118" s="31">
        <v>7.3449999999999998</v>
      </c>
      <c r="R118" s="31">
        <v>7.4169999999999998</v>
      </c>
      <c r="S118" s="31">
        <v>7.484</v>
      </c>
      <c r="T118" s="167">
        <v>7.548</v>
      </c>
    </row>
    <row r="119" spans="1:20" x14ac:dyDescent="0.25">
      <c r="A119">
        <v>14</v>
      </c>
      <c r="B119" s="166">
        <v>4.21</v>
      </c>
      <c r="C119" s="31">
        <v>4.8949999999999996</v>
      </c>
      <c r="D119" s="31">
        <v>5.3220000000000001</v>
      </c>
      <c r="E119" s="31">
        <v>5.6340000000000003</v>
      </c>
      <c r="F119" s="31">
        <v>5.8810000000000002</v>
      </c>
      <c r="G119" s="31">
        <v>6.085</v>
      </c>
      <c r="H119" s="31">
        <v>6.258</v>
      </c>
      <c r="I119" s="31">
        <v>6.4089999999999998</v>
      </c>
      <c r="J119" s="31">
        <v>6.5430000000000001</v>
      </c>
      <c r="K119" s="31">
        <v>6.6630000000000003</v>
      </c>
      <c r="L119" s="31">
        <v>6.7720000000000002</v>
      </c>
      <c r="M119" s="31">
        <v>6.8710000000000004</v>
      </c>
      <c r="N119" s="31">
        <v>6.9619999999999997</v>
      </c>
      <c r="O119" s="31">
        <v>7.0469999999999997</v>
      </c>
      <c r="P119" s="31">
        <v>7.125</v>
      </c>
      <c r="Q119" s="31">
        <v>7.1989999999999998</v>
      </c>
      <c r="R119" s="31">
        <v>7.2679999999999998</v>
      </c>
      <c r="S119" s="31">
        <v>7.3330000000000002</v>
      </c>
      <c r="T119" s="167">
        <v>7.3940000000000001</v>
      </c>
    </row>
    <row r="120" spans="1:20" x14ac:dyDescent="0.25">
      <c r="A120">
        <v>15</v>
      </c>
      <c r="B120" s="166">
        <v>4.1669999999999998</v>
      </c>
      <c r="C120" s="31">
        <v>4.8360000000000003</v>
      </c>
      <c r="D120" s="31">
        <v>5.2519999999999998</v>
      </c>
      <c r="E120" s="31">
        <v>5.556</v>
      </c>
      <c r="F120" s="31">
        <v>5.7960000000000003</v>
      </c>
      <c r="G120" s="31">
        <v>5.9939999999999998</v>
      </c>
      <c r="H120" s="31">
        <v>6.1619999999999999</v>
      </c>
      <c r="I120" s="31">
        <v>6.3090000000000002</v>
      </c>
      <c r="J120" s="31">
        <v>6.4379999999999997</v>
      </c>
      <c r="K120" s="31">
        <v>6.5549999999999997</v>
      </c>
      <c r="L120" s="31">
        <v>6.66</v>
      </c>
      <c r="M120" s="31">
        <v>6.7560000000000002</v>
      </c>
      <c r="N120" s="31">
        <v>6.8449999999999998</v>
      </c>
      <c r="O120" s="31">
        <v>6.9269999999999996</v>
      </c>
      <c r="P120" s="31">
        <v>7.0030000000000001</v>
      </c>
      <c r="Q120" s="31">
        <v>7.0739999999999998</v>
      </c>
      <c r="R120" s="31">
        <v>7.141</v>
      </c>
      <c r="S120" s="31">
        <v>7.2039999999999997</v>
      </c>
      <c r="T120" s="167">
        <v>7.2640000000000002</v>
      </c>
    </row>
    <row r="121" spans="1:20" x14ac:dyDescent="0.25">
      <c r="A121">
        <v>16</v>
      </c>
      <c r="B121" s="166">
        <v>4.1310000000000002</v>
      </c>
      <c r="C121" s="31">
        <v>4.7859999999999996</v>
      </c>
      <c r="D121" s="31">
        <v>5.1920000000000002</v>
      </c>
      <c r="E121" s="31">
        <v>5.4889999999999999</v>
      </c>
      <c r="F121" s="31">
        <v>5.7220000000000004</v>
      </c>
      <c r="G121" s="31">
        <v>5.915</v>
      </c>
      <c r="H121" s="31">
        <v>6.0789999999999997</v>
      </c>
      <c r="I121" s="31">
        <v>6.2220000000000004</v>
      </c>
      <c r="J121" s="31">
        <v>6.3479999999999999</v>
      </c>
      <c r="K121" s="31">
        <v>6.4610000000000003</v>
      </c>
      <c r="L121" s="31">
        <v>6.5640000000000001</v>
      </c>
      <c r="M121" s="31">
        <v>6.6580000000000004</v>
      </c>
      <c r="N121" s="31">
        <v>6.7439999999999998</v>
      </c>
      <c r="O121" s="31">
        <v>6.8230000000000004</v>
      </c>
      <c r="P121" s="31">
        <v>6.8970000000000002</v>
      </c>
      <c r="Q121" s="31">
        <v>6.9669999999999996</v>
      </c>
      <c r="R121" s="31">
        <v>7.032</v>
      </c>
      <c r="S121" s="31">
        <v>7.093</v>
      </c>
      <c r="T121" s="167">
        <v>7.1509999999999998</v>
      </c>
    </row>
    <row r="122" spans="1:20" x14ac:dyDescent="0.25">
      <c r="A122">
        <v>17</v>
      </c>
      <c r="B122" s="166">
        <v>4.0990000000000002</v>
      </c>
      <c r="C122" s="31">
        <v>4.742</v>
      </c>
      <c r="D122" s="31">
        <v>5.14</v>
      </c>
      <c r="E122" s="31">
        <v>5.43</v>
      </c>
      <c r="F122" s="31">
        <v>5.6589999999999998</v>
      </c>
      <c r="G122" s="31">
        <v>5.8470000000000004</v>
      </c>
      <c r="H122" s="31">
        <v>6.0069999999999997</v>
      </c>
      <c r="I122" s="31">
        <v>6.1470000000000002</v>
      </c>
      <c r="J122" s="31">
        <v>6.27</v>
      </c>
      <c r="K122" s="31">
        <v>6.38</v>
      </c>
      <c r="L122" s="31">
        <v>6.48</v>
      </c>
      <c r="M122" s="31">
        <v>6.5720000000000001</v>
      </c>
      <c r="N122" s="31">
        <v>6.6559999999999997</v>
      </c>
      <c r="O122" s="31">
        <v>6.7329999999999997</v>
      </c>
      <c r="P122" s="31">
        <v>6.806</v>
      </c>
      <c r="Q122" s="31">
        <v>6.8730000000000002</v>
      </c>
      <c r="R122" s="31">
        <v>6.9370000000000003</v>
      </c>
      <c r="S122" s="31">
        <v>6.9969999999999999</v>
      </c>
      <c r="T122" s="167">
        <v>7.0529999999999999</v>
      </c>
    </row>
    <row r="123" spans="1:20" x14ac:dyDescent="0.25">
      <c r="A123">
        <v>18</v>
      </c>
      <c r="B123" s="166">
        <v>4.0709999999999997</v>
      </c>
      <c r="C123" s="31">
        <v>4.7030000000000003</v>
      </c>
      <c r="D123" s="31">
        <v>5.0940000000000003</v>
      </c>
      <c r="E123" s="31">
        <v>5.3789999999999996</v>
      </c>
      <c r="F123" s="31">
        <v>5.6029999999999998</v>
      </c>
      <c r="G123" s="31">
        <v>5.7869999999999999</v>
      </c>
      <c r="H123" s="31">
        <v>5.944</v>
      </c>
      <c r="I123" s="31">
        <v>6.0810000000000004</v>
      </c>
      <c r="J123" s="31">
        <v>6.2009999999999996</v>
      </c>
      <c r="K123" s="31">
        <v>6.3090000000000002</v>
      </c>
      <c r="L123" s="31">
        <v>6.407</v>
      </c>
      <c r="M123" s="31">
        <v>6.4960000000000004</v>
      </c>
      <c r="N123" s="31">
        <v>6.5789999999999997</v>
      </c>
      <c r="O123" s="31">
        <v>6.6550000000000002</v>
      </c>
      <c r="P123" s="31">
        <v>6.7249999999999996</v>
      </c>
      <c r="Q123" s="31">
        <v>6.7910000000000004</v>
      </c>
      <c r="R123" s="31">
        <v>6.8540000000000001</v>
      </c>
      <c r="S123" s="31">
        <v>6.9119999999999999</v>
      </c>
      <c r="T123" s="167">
        <v>6.9669999999999996</v>
      </c>
    </row>
    <row r="124" spans="1:20" x14ac:dyDescent="0.25">
      <c r="A124">
        <v>19</v>
      </c>
      <c r="B124" s="166">
        <v>4.0460000000000003</v>
      </c>
      <c r="C124" s="31">
        <v>4.6689999999999996</v>
      </c>
      <c r="D124" s="31">
        <v>5.0540000000000003</v>
      </c>
      <c r="E124" s="31">
        <v>5.3339999999999996</v>
      </c>
      <c r="F124" s="31">
        <v>5.5529999999999999</v>
      </c>
      <c r="G124" s="31">
        <v>5.7350000000000003</v>
      </c>
      <c r="H124" s="31">
        <v>5.8890000000000002</v>
      </c>
      <c r="I124" s="31">
        <v>6.0220000000000002</v>
      </c>
      <c r="J124" s="31">
        <v>6.141</v>
      </c>
      <c r="K124" s="31">
        <v>6.2460000000000004</v>
      </c>
      <c r="L124" s="31">
        <v>6.3419999999999996</v>
      </c>
      <c r="M124" s="31">
        <v>6.43</v>
      </c>
      <c r="N124" s="31">
        <v>6.51</v>
      </c>
      <c r="O124" s="31">
        <v>6.585</v>
      </c>
      <c r="P124" s="31">
        <v>6.6539999999999999</v>
      </c>
      <c r="Q124" s="31">
        <v>6.7190000000000003</v>
      </c>
      <c r="R124" s="31">
        <v>6.78</v>
      </c>
      <c r="S124" s="31">
        <v>6.8369999999999997</v>
      </c>
      <c r="T124" s="167">
        <v>6.891</v>
      </c>
    </row>
    <row r="125" spans="1:20" x14ac:dyDescent="0.25">
      <c r="A125">
        <v>20</v>
      </c>
      <c r="B125" s="166">
        <v>4.024</v>
      </c>
      <c r="C125" s="31">
        <v>4.6390000000000002</v>
      </c>
      <c r="D125" s="31">
        <v>5.0179999999999998</v>
      </c>
      <c r="E125" s="31">
        <v>5.2930000000000001</v>
      </c>
      <c r="F125" s="31">
        <v>5.51</v>
      </c>
      <c r="G125" s="31">
        <v>5.6879999999999997</v>
      </c>
      <c r="H125" s="31">
        <v>5.8390000000000004</v>
      </c>
      <c r="I125" s="31">
        <v>5.97</v>
      </c>
      <c r="J125" s="31">
        <v>6.0860000000000003</v>
      </c>
      <c r="K125" s="31">
        <v>6.19</v>
      </c>
      <c r="L125" s="31">
        <v>6.2850000000000001</v>
      </c>
      <c r="M125" s="31">
        <v>6.37</v>
      </c>
      <c r="N125" s="31">
        <v>6.4489999999999998</v>
      </c>
      <c r="O125" s="31">
        <v>6.5229999999999997</v>
      </c>
      <c r="P125" s="31">
        <v>6.5910000000000002</v>
      </c>
      <c r="Q125" s="31">
        <v>6.6539999999999999</v>
      </c>
      <c r="R125" s="31">
        <v>6.7140000000000004</v>
      </c>
      <c r="S125" s="31">
        <v>6.77</v>
      </c>
      <c r="T125" s="167">
        <v>6.8230000000000004</v>
      </c>
    </row>
    <row r="126" spans="1:20" x14ac:dyDescent="0.25">
      <c r="A126">
        <v>21</v>
      </c>
      <c r="B126" s="166">
        <v>4.0039999999999996</v>
      </c>
      <c r="C126" s="31">
        <v>4.6120000000000001</v>
      </c>
      <c r="D126" s="31">
        <v>4.9859999999999998</v>
      </c>
      <c r="E126" s="31">
        <v>5.2569999999999997</v>
      </c>
      <c r="F126" s="31">
        <v>5.47</v>
      </c>
      <c r="G126" s="31">
        <v>5.6459999999999999</v>
      </c>
      <c r="H126" s="31">
        <v>5.7939999999999996</v>
      </c>
      <c r="I126" s="31">
        <v>5.9240000000000004</v>
      </c>
      <c r="J126" s="31">
        <v>6.0380000000000003</v>
      </c>
      <c r="K126" s="31">
        <v>6.14</v>
      </c>
      <c r="L126" s="31">
        <v>6.2329999999999997</v>
      </c>
      <c r="M126" s="31">
        <v>6.3170000000000002</v>
      </c>
      <c r="N126" s="31">
        <v>6.3949999999999996</v>
      </c>
      <c r="O126" s="31">
        <v>6.4669999999999996</v>
      </c>
      <c r="P126" s="31">
        <v>6.5339999999999998</v>
      </c>
      <c r="Q126" s="31">
        <v>6.5960000000000001</v>
      </c>
      <c r="R126" s="31">
        <v>6.6550000000000002</v>
      </c>
      <c r="S126" s="31">
        <v>6.71</v>
      </c>
      <c r="T126" s="167">
        <v>6.7619999999999996</v>
      </c>
    </row>
    <row r="127" spans="1:20" x14ac:dyDescent="0.25">
      <c r="A127">
        <v>22</v>
      </c>
      <c r="B127" s="166">
        <v>3.9860000000000002</v>
      </c>
      <c r="C127" s="31">
        <v>4.5880000000000001</v>
      </c>
      <c r="D127" s="31">
        <v>4.9569999999999999</v>
      </c>
      <c r="E127" s="31">
        <v>5.2249999999999996</v>
      </c>
      <c r="F127" s="31">
        <v>5.4349999999999996</v>
      </c>
      <c r="G127" s="31">
        <v>5.6079999999999997</v>
      </c>
      <c r="H127" s="31">
        <v>5.7539999999999996</v>
      </c>
      <c r="I127" s="31">
        <v>5.8819999999999997</v>
      </c>
      <c r="J127" s="31">
        <v>5.9939999999999998</v>
      </c>
      <c r="K127" s="31">
        <v>6.0949999999999998</v>
      </c>
      <c r="L127" s="31">
        <v>6.1859999999999999</v>
      </c>
      <c r="M127" s="31">
        <v>6.2690000000000001</v>
      </c>
      <c r="N127" s="31">
        <v>6.3460000000000001</v>
      </c>
      <c r="O127" s="31">
        <v>6.4169999999999998</v>
      </c>
      <c r="P127" s="31">
        <v>6.4820000000000002</v>
      </c>
      <c r="Q127" s="31">
        <v>6.5439999999999996</v>
      </c>
      <c r="R127" s="31">
        <v>6.6020000000000003</v>
      </c>
      <c r="S127" s="31">
        <v>6.6559999999999997</v>
      </c>
      <c r="T127" s="167">
        <v>6.7069999999999999</v>
      </c>
    </row>
    <row r="128" spans="1:20" x14ac:dyDescent="0.25">
      <c r="A128">
        <v>23</v>
      </c>
      <c r="B128" s="166">
        <v>3.97</v>
      </c>
      <c r="C128" s="31">
        <v>4.5659999999999998</v>
      </c>
      <c r="D128" s="31">
        <v>4.931</v>
      </c>
      <c r="E128" s="31">
        <v>5.1950000000000003</v>
      </c>
      <c r="F128" s="31">
        <v>5.4029999999999996</v>
      </c>
      <c r="G128" s="31">
        <v>5.5730000000000004</v>
      </c>
      <c r="H128" s="31">
        <v>5.718</v>
      </c>
      <c r="I128" s="31">
        <v>5.8440000000000003</v>
      </c>
      <c r="J128" s="31">
        <v>5.9550000000000001</v>
      </c>
      <c r="K128" s="31">
        <v>6.0540000000000003</v>
      </c>
      <c r="L128" s="31">
        <v>6.1440000000000001</v>
      </c>
      <c r="M128" s="31">
        <v>6.226</v>
      </c>
      <c r="N128" s="31">
        <v>6.3010000000000002</v>
      </c>
      <c r="O128" s="31">
        <v>6.3710000000000004</v>
      </c>
      <c r="P128" s="31">
        <v>6.4359999999999999</v>
      </c>
      <c r="Q128" s="31">
        <v>6.4969999999999999</v>
      </c>
      <c r="R128" s="31">
        <v>6.5529999999999999</v>
      </c>
      <c r="S128" s="31">
        <v>6.6070000000000002</v>
      </c>
      <c r="T128" s="167">
        <v>6.6580000000000004</v>
      </c>
    </row>
    <row r="129" spans="1:20" x14ac:dyDescent="0.25">
      <c r="A129">
        <v>24</v>
      </c>
      <c r="B129" s="166">
        <v>3.9550000000000001</v>
      </c>
      <c r="C129" s="31">
        <v>4.5460000000000003</v>
      </c>
      <c r="D129" s="31">
        <v>4.907</v>
      </c>
      <c r="E129" s="31">
        <v>5.1680000000000001</v>
      </c>
      <c r="F129" s="31">
        <v>5.3730000000000002</v>
      </c>
      <c r="G129" s="31">
        <v>5.5419999999999998</v>
      </c>
      <c r="H129" s="31">
        <v>5.6849999999999996</v>
      </c>
      <c r="I129" s="31">
        <v>5.8090000000000002</v>
      </c>
      <c r="J129" s="31">
        <v>5.9189999999999996</v>
      </c>
      <c r="K129" s="31">
        <v>6.0170000000000003</v>
      </c>
      <c r="L129" s="31">
        <v>6.1050000000000004</v>
      </c>
      <c r="M129" s="31">
        <v>6.1859999999999999</v>
      </c>
      <c r="N129" s="31">
        <v>6.2610000000000001</v>
      </c>
      <c r="O129" s="31">
        <v>6.33</v>
      </c>
      <c r="P129" s="31">
        <v>6.3940000000000001</v>
      </c>
      <c r="Q129" s="31">
        <v>6.4530000000000003</v>
      </c>
      <c r="R129" s="31">
        <v>6.51</v>
      </c>
      <c r="S129" s="31">
        <v>6.5620000000000003</v>
      </c>
      <c r="T129" s="167">
        <v>6.6120000000000001</v>
      </c>
    </row>
    <row r="130" spans="1:20" x14ac:dyDescent="0.25">
      <c r="A130">
        <v>25</v>
      </c>
      <c r="B130" s="166">
        <v>3.9420000000000002</v>
      </c>
      <c r="C130" s="31">
        <v>4.5270000000000001</v>
      </c>
      <c r="D130" s="31">
        <v>4.8849999999999998</v>
      </c>
      <c r="E130" s="31">
        <v>5.1440000000000001</v>
      </c>
      <c r="F130" s="31">
        <v>5.3470000000000004</v>
      </c>
      <c r="G130" s="31">
        <v>5.5129999999999999</v>
      </c>
      <c r="H130" s="31">
        <v>5.6550000000000002</v>
      </c>
      <c r="I130" s="31">
        <v>5.7779999999999996</v>
      </c>
      <c r="J130" s="31">
        <v>5.8860000000000001</v>
      </c>
      <c r="K130" s="31">
        <v>5.9829999999999997</v>
      </c>
      <c r="L130" s="31">
        <v>6.07</v>
      </c>
      <c r="M130" s="31">
        <v>6.15</v>
      </c>
      <c r="N130" s="31">
        <v>6.2240000000000002</v>
      </c>
      <c r="O130" s="31">
        <v>6.2919999999999998</v>
      </c>
      <c r="P130" s="31">
        <v>6.3550000000000004</v>
      </c>
      <c r="Q130" s="31">
        <v>6.4139999999999997</v>
      </c>
      <c r="R130" s="31">
        <v>6.4690000000000003</v>
      </c>
      <c r="S130" s="31">
        <v>6.5220000000000002</v>
      </c>
      <c r="T130" s="167">
        <v>6.5709999999999997</v>
      </c>
    </row>
    <row r="131" spans="1:20" x14ac:dyDescent="0.25">
      <c r="A131">
        <v>26</v>
      </c>
      <c r="B131" s="166">
        <v>3.93</v>
      </c>
      <c r="C131" s="31">
        <v>4.51</v>
      </c>
      <c r="D131" s="31">
        <v>4.8650000000000002</v>
      </c>
      <c r="E131" s="31">
        <v>5.1210000000000004</v>
      </c>
      <c r="F131" s="31">
        <v>5.3220000000000001</v>
      </c>
      <c r="G131" s="31">
        <v>5.4870000000000001</v>
      </c>
      <c r="H131" s="31">
        <v>5.6269999999999998</v>
      </c>
      <c r="I131" s="31">
        <v>5.7489999999999997</v>
      </c>
      <c r="J131" s="31">
        <v>5.8559999999999999</v>
      </c>
      <c r="K131" s="31">
        <v>5.9509999999999996</v>
      </c>
      <c r="L131" s="31">
        <v>6.0380000000000003</v>
      </c>
      <c r="M131" s="31">
        <v>6.117</v>
      </c>
      <c r="N131" s="31">
        <v>6.19</v>
      </c>
      <c r="O131" s="31">
        <v>6.2569999999999997</v>
      </c>
      <c r="P131" s="31">
        <v>6.319</v>
      </c>
      <c r="Q131" s="31">
        <v>6.3780000000000001</v>
      </c>
      <c r="R131" s="31">
        <v>6.4320000000000004</v>
      </c>
      <c r="S131" s="31">
        <v>6.484</v>
      </c>
      <c r="T131" s="167">
        <v>6.5330000000000004</v>
      </c>
    </row>
    <row r="132" spans="1:20" x14ac:dyDescent="0.25">
      <c r="A132">
        <v>27</v>
      </c>
      <c r="B132" s="166">
        <v>3.9180000000000001</v>
      </c>
      <c r="C132" s="31">
        <v>4.4950000000000001</v>
      </c>
      <c r="D132" s="31">
        <v>4.8470000000000004</v>
      </c>
      <c r="E132" s="31">
        <v>5.101</v>
      </c>
      <c r="F132" s="31">
        <v>5.3</v>
      </c>
      <c r="G132" s="31">
        <v>5.4630000000000001</v>
      </c>
      <c r="H132" s="31">
        <v>5.6020000000000003</v>
      </c>
      <c r="I132" s="31">
        <v>5.7220000000000004</v>
      </c>
      <c r="J132" s="31">
        <v>5.8280000000000003</v>
      </c>
      <c r="K132" s="31">
        <v>5.923</v>
      </c>
      <c r="L132" s="31">
        <v>6.008</v>
      </c>
      <c r="M132" s="31">
        <v>6.0869999999999997</v>
      </c>
      <c r="N132" s="31">
        <v>6.1580000000000004</v>
      </c>
      <c r="O132" s="31">
        <v>6.2249999999999996</v>
      </c>
      <c r="P132" s="31">
        <v>6.2869999999999999</v>
      </c>
      <c r="Q132" s="31">
        <v>6.3440000000000003</v>
      </c>
      <c r="R132" s="31">
        <v>6.399</v>
      </c>
      <c r="S132" s="31">
        <v>6.45</v>
      </c>
      <c r="T132" s="167">
        <v>6.4980000000000002</v>
      </c>
    </row>
    <row r="133" spans="1:20" x14ac:dyDescent="0.25">
      <c r="A133">
        <v>28</v>
      </c>
      <c r="B133" s="166">
        <v>3.9079999999999999</v>
      </c>
      <c r="C133" s="31">
        <v>4.4809999999999999</v>
      </c>
      <c r="D133" s="31">
        <v>4.83</v>
      </c>
      <c r="E133" s="31">
        <v>5.0819999999999999</v>
      </c>
      <c r="F133" s="31">
        <v>5.2789999999999999</v>
      </c>
      <c r="G133" s="31">
        <v>5.4409999999999998</v>
      </c>
      <c r="H133" s="31">
        <v>5.5780000000000003</v>
      </c>
      <c r="I133" s="31">
        <v>5.6970000000000001</v>
      </c>
      <c r="J133" s="31">
        <v>5.8019999999999996</v>
      </c>
      <c r="K133" s="31">
        <v>5.8959999999999999</v>
      </c>
      <c r="L133" s="31">
        <v>5.9809999999999999</v>
      </c>
      <c r="M133" s="31">
        <v>6.0579999999999998</v>
      </c>
      <c r="N133" s="31">
        <v>6.1289999999999996</v>
      </c>
      <c r="O133" s="31">
        <v>6.1950000000000003</v>
      </c>
      <c r="P133" s="31">
        <v>6.2560000000000002</v>
      </c>
      <c r="Q133" s="31">
        <v>6.3140000000000001</v>
      </c>
      <c r="R133" s="31">
        <v>6.367</v>
      </c>
      <c r="S133" s="31">
        <v>6.4180000000000001</v>
      </c>
      <c r="T133" s="167">
        <v>6.4649999999999999</v>
      </c>
    </row>
    <row r="134" spans="1:20" x14ac:dyDescent="0.25">
      <c r="A134">
        <v>29</v>
      </c>
      <c r="B134" s="166">
        <v>3.8980000000000001</v>
      </c>
      <c r="C134" s="31">
        <v>4.4669999999999996</v>
      </c>
      <c r="D134" s="31">
        <v>4.8140000000000001</v>
      </c>
      <c r="E134" s="31">
        <v>5.0640000000000001</v>
      </c>
      <c r="F134" s="31">
        <v>5.26</v>
      </c>
      <c r="G134" s="31">
        <v>5.42</v>
      </c>
      <c r="H134" s="31">
        <v>5.556</v>
      </c>
      <c r="I134" s="31">
        <v>5.6740000000000004</v>
      </c>
      <c r="J134" s="31">
        <v>5.7779999999999996</v>
      </c>
      <c r="K134" s="31">
        <v>5.8710000000000004</v>
      </c>
      <c r="L134" s="31">
        <v>5.9550000000000001</v>
      </c>
      <c r="M134" s="31">
        <v>6.032</v>
      </c>
      <c r="N134" s="31">
        <v>6.1029999999999998</v>
      </c>
      <c r="O134" s="31">
        <v>6.1680000000000001</v>
      </c>
      <c r="P134" s="31">
        <v>6.2279999999999998</v>
      </c>
      <c r="Q134" s="31">
        <v>6.2850000000000001</v>
      </c>
      <c r="R134" s="31">
        <v>6.3380000000000001</v>
      </c>
      <c r="S134" s="31">
        <v>6.3879999999999999</v>
      </c>
      <c r="T134" s="167">
        <v>6.4349999999999996</v>
      </c>
    </row>
    <row r="135" spans="1:20" x14ac:dyDescent="0.25">
      <c r="A135">
        <v>30</v>
      </c>
      <c r="B135" s="166">
        <v>3.8889999999999998</v>
      </c>
      <c r="C135" s="31">
        <v>4.4550000000000001</v>
      </c>
      <c r="D135" s="31">
        <v>4.7990000000000004</v>
      </c>
      <c r="E135" s="31">
        <v>5.048</v>
      </c>
      <c r="F135" s="31">
        <v>5.242</v>
      </c>
      <c r="G135" s="31">
        <v>5.4009999999999998</v>
      </c>
      <c r="H135" s="31">
        <v>5.5359999999999996</v>
      </c>
      <c r="I135" s="31">
        <v>5.6529999999999996</v>
      </c>
      <c r="J135" s="31">
        <v>5.7560000000000002</v>
      </c>
      <c r="K135" s="31">
        <v>5.8479999999999999</v>
      </c>
      <c r="L135" s="31">
        <v>5.9320000000000004</v>
      </c>
      <c r="M135" s="31">
        <v>6.008</v>
      </c>
      <c r="N135" s="31">
        <v>6.0780000000000003</v>
      </c>
      <c r="O135" s="31">
        <v>6.1420000000000003</v>
      </c>
      <c r="P135" s="31">
        <v>6.202</v>
      </c>
      <c r="Q135" s="31">
        <v>6.258</v>
      </c>
      <c r="R135" s="31">
        <v>6.3109999999999999</v>
      </c>
      <c r="S135" s="31">
        <v>6.3609999999999998</v>
      </c>
      <c r="T135" s="167">
        <v>6.407</v>
      </c>
    </row>
    <row r="136" spans="1:20" x14ac:dyDescent="0.25">
      <c r="A136">
        <v>31</v>
      </c>
      <c r="B136" s="166">
        <v>3.8809999999999998</v>
      </c>
      <c r="C136" s="31">
        <v>4.4429999999999996</v>
      </c>
      <c r="D136" s="31">
        <v>4.7859999999999996</v>
      </c>
      <c r="E136" s="31">
        <v>5.032</v>
      </c>
      <c r="F136" s="31">
        <v>5.2249999999999996</v>
      </c>
      <c r="G136" s="31">
        <v>5.383</v>
      </c>
      <c r="H136" s="31">
        <v>5.5170000000000003</v>
      </c>
      <c r="I136" s="31">
        <v>5.633</v>
      </c>
      <c r="J136" s="31">
        <v>5.7359999999999998</v>
      </c>
      <c r="K136" s="31">
        <v>5.827</v>
      </c>
      <c r="L136" s="31">
        <v>5.91</v>
      </c>
      <c r="M136" s="31">
        <v>5.9850000000000003</v>
      </c>
      <c r="N136" s="31">
        <v>6.0549999999999997</v>
      </c>
      <c r="O136" s="31">
        <v>6.1189999999999998</v>
      </c>
      <c r="P136" s="31">
        <v>6.1779999999999999</v>
      </c>
      <c r="Q136" s="31">
        <v>6.234</v>
      </c>
      <c r="R136" s="31">
        <v>6.2859999999999996</v>
      </c>
      <c r="S136" s="31">
        <v>6.335</v>
      </c>
      <c r="T136" s="167">
        <v>6.3810000000000002</v>
      </c>
    </row>
    <row r="137" spans="1:20" x14ac:dyDescent="0.25">
      <c r="A137">
        <v>32</v>
      </c>
      <c r="B137" s="166">
        <v>3.8730000000000002</v>
      </c>
      <c r="C137" s="31">
        <v>4.4329999999999998</v>
      </c>
      <c r="D137" s="31">
        <v>4.7729999999999997</v>
      </c>
      <c r="E137" s="31">
        <v>5.0179999999999998</v>
      </c>
      <c r="F137" s="31">
        <v>5.21</v>
      </c>
      <c r="G137" s="31">
        <v>5.367</v>
      </c>
      <c r="H137" s="31">
        <v>5.5</v>
      </c>
      <c r="I137" s="31">
        <v>5.6150000000000002</v>
      </c>
      <c r="J137" s="31">
        <v>5.7160000000000002</v>
      </c>
      <c r="K137" s="31">
        <v>5.8070000000000004</v>
      </c>
      <c r="L137" s="31">
        <v>5.8890000000000002</v>
      </c>
      <c r="M137" s="31">
        <v>5.9640000000000004</v>
      </c>
      <c r="N137" s="31">
        <v>6.0330000000000004</v>
      </c>
      <c r="O137" s="31">
        <v>6.0960000000000001</v>
      </c>
      <c r="P137" s="31">
        <v>6.1550000000000002</v>
      </c>
      <c r="Q137" s="31">
        <v>6.2110000000000003</v>
      </c>
      <c r="R137" s="31">
        <v>6.2619999999999996</v>
      </c>
      <c r="S137" s="31">
        <v>6.3109999999999999</v>
      </c>
      <c r="T137" s="167">
        <v>6.3570000000000002</v>
      </c>
    </row>
    <row r="138" spans="1:20" x14ac:dyDescent="0.25">
      <c r="A138">
        <v>33</v>
      </c>
      <c r="B138" s="166">
        <v>3.8650000000000002</v>
      </c>
      <c r="C138" s="31">
        <v>4.423</v>
      </c>
      <c r="D138" s="31">
        <v>4.7610000000000001</v>
      </c>
      <c r="E138" s="31">
        <v>5.0049999999999999</v>
      </c>
      <c r="F138" s="31">
        <v>5.1950000000000003</v>
      </c>
      <c r="G138" s="31">
        <v>5.351</v>
      </c>
      <c r="H138" s="31">
        <v>5.4829999999999997</v>
      </c>
      <c r="I138" s="31">
        <v>5.5979999999999999</v>
      </c>
      <c r="J138" s="31">
        <v>5.6980000000000004</v>
      </c>
      <c r="K138" s="31">
        <v>5.7889999999999997</v>
      </c>
      <c r="L138" s="31">
        <v>5.87</v>
      </c>
      <c r="M138" s="31">
        <v>5.944</v>
      </c>
      <c r="N138" s="31">
        <v>6.0129999999999999</v>
      </c>
      <c r="O138" s="31">
        <v>6.0759999999999996</v>
      </c>
      <c r="P138" s="31">
        <v>6.1340000000000003</v>
      </c>
      <c r="Q138" s="31">
        <v>6.1890000000000001</v>
      </c>
      <c r="R138" s="31">
        <v>6.24</v>
      </c>
      <c r="S138" s="31">
        <v>6.2889999999999997</v>
      </c>
      <c r="T138" s="167">
        <v>6.3339999999999996</v>
      </c>
    </row>
    <row r="139" spans="1:20" x14ac:dyDescent="0.25">
      <c r="A139">
        <v>34</v>
      </c>
      <c r="B139" s="166">
        <v>3.859</v>
      </c>
      <c r="C139" s="31">
        <v>4.4130000000000003</v>
      </c>
      <c r="D139" s="31">
        <v>4.75</v>
      </c>
      <c r="E139" s="31">
        <v>4.992</v>
      </c>
      <c r="F139" s="31">
        <v>5.181</v>
      </c>
      <c r="G139" s="31">
        <v>5.3360000000000003</v>
      </c>
      <c r="H139" s="31">
        <v>5.468</v>
      </c>
      <c r="I139" s="31">
        <v>5.5810000000000004</v>
      </c>
      <c r="J139" s="31">
        <v>5.6820000000000004</v>
      </c>
      <c r="K139" s="31">
        <v>5.7709999999999999</v>
      </c>
      <c r="L139" s="31">
        <v>5.8520000000000003</v>
      </c>
      <c r="M139" s="31">
        <v>5.9260000000000002</v>
      </c>
      <c r="N139" s="31">
        <v>5.9939999999999998</v>
      </c>
      <c r="O139" s="31">
        <v>6.056</v>
      </c>
      <c r="P139" s="31">
        <v>6.1139999999999999</v>
      </c>
      <c r="Q139" s="31">
        <v>6.1689999999999996</v>
      </c>
      <c r="R139" s="31">
        <v>6.22</v>
      </c>
      <c r="S139" s="31">
        <v>6.2679999999999998</v>
      </c>
      <c r="T139" s="167">
        <v>6.3129999999999997</v>
      </c>
    </row>
    <row r="140" spans="1:20" x14ac:dyDescent="0.25">
      <c r="A140">
        <v>35</v>
      </c>
      <c r="B140" s="166">
        <v>3.8519999999999999</v>
      </c>
      <c r="C140" s="31">
        <v>4.4039999999999999</v>
      </c>
      <c r="D140" s="31">
        <v>4.7389999999999999</v>
      </c>
      <c r="E140" s="31">
        <v>4.9800000000000004</v>
      </c>
      <c r="F140" s="31">
        <v>5.1689999999999996</v>
      </c>
      <c r="G140" s="31">
        <v>5.3230000000000004</v>
      </c>
      <c r="H140" s="31">
        <v>5.4530000000000003</v>
      </c>
      <c r="I140" s="31">
        <v>5.5659999999999998</v>
      </c>
      <c r="J140" s="31">
        <v>5.6660000000000004</v>
      </c>
      <c r="K140" s="31">
        <v>5.7549999999999999</v>
      </c>
      <c r="L140" s="31">
        <v>5.835</v>
      </c>
      <c r="M140" s="31">
        <v>5.9080000000000004</v>
      </c>
      <c r="N140" s="31">
        <v>5.976</v>
      </c>
      <c r="O140" s="31">
        <v>6.0380000000000003</v>
      </c>
      <c r="P140" s="31">
        <v>6.0960000000000001</v>
      </c>
      <c r="Q140" s="31">
        <v>6.15</v>
      </c>
      <c r="R140" s="31">
        <v>6.2</v>
      </c>
      <c r="S140" s="31">
        <v>6.2480000000000002</v>
      </c>
      <c r="T140" s="167">
        <v>6.2930000000000001</v>
      </c>
    </row>
    <row r="141" spans="1:20" x14ac:dyDescent="0.25">
      <c r="A141">
        <v>36</v>
      </c>
      <c r="B141" s="166">
        <v>3.8460000000000001</v>
      </c>
      <c r="C141" s="31">
        <v>4.3959999999999999</v>
      </c>
      <c r="D141" s="31">
        <v>4.7290000000000001</v>
      </c>
      <c r="E141" s="31">
        <v>4.9690000000000003</v>
      </c>
      <c r="F141" s="31">
        <v>5.1559999999999997</v>
      </c>
      <c r="G141" s="31">
        <v>5.31</v>
      </c>
      <c r="H141" s="31">
        <v>5.4390000000000001</v>
      </c>
      <c r="I141" s="31">
        <v>5.5519999999999996</v>
      </c>
      <c r="J141" s="31">
        <v>5.6509999999999998</v>
      </c>
      <c r="K141" s="31">
        <v>5.7389999999999999</v>
      </c>
      <c r="L141" s="31">
        <v>5.819</v>
      </c>
      <c r="M141" s="31">
        <v>5.8920000000000003</v>
      </c>
      <c r="N141" s="31">
        <v>5.9589999999999996</v>
      </c>
      <c r="O141" s="31">
        <v>6.0209999999999999</v>
      </c>
      <c r="P141" s="31">
        <v>6.0780000000000003</v>
      </c>
      <c r="Q141" s="31">
        <v>6.1319999999999997</v>
      </c>
      <c r="R141" s="31">
        <v>6.1820000000000004</v>
      </c>
      <c r="S141" s="31">
        <v>6.2290000000000001</v>
      </c>
      <c r="T141" s="167">
        <v>6.274</v>
      </c>
    </row>
    <row r="142" spans="1:20" x14ac:dyDescent="0.25">
      <c r="A142">
        <v>37</v>
      </c>
      <c r="B142" s="166">
        <v>3.84</v>
      </c>
      <c r="C142" s="31">
        <v>4.3879999999999999</v>
      </c>
      <c r="D142" s="31">
        <v>4.72</v>
      </c>
      <c r="E142" s="31">
        <v>4.9589999999999996</v>
      </c>
      <c r="F142" s="31">
        <v>5.1449999999999996</v>
      </c>
      <c r="G142" s="31">
        <v>5.298</v>
      </c>
      <c r="H142" s="31">
        <v>5.4269999999999996</v>
      </c>
      <c r="I142" s="31">
        <v>5.5380000000000003</v>
      </c>
      <c r="J142" s="31">
        <v>5.6369999999999996</v>
      </c>
      <c r="K142" s="31">
        <v>5.7249999999999996</v>
      </c>
      <c r="L142" s="31">
        <v>5.8040000000000003</v>
      </c>
      <c r="M142" s="31">
        <v>5.8760000000000003</v>
      </c>
      <c r="N142" s="31">
        <v>5.9429999999999996</v>
      </c>
      <c r="O142" s="31">
        <v>6.0039999999999996</v>
      </c>
      <c r="P142" s="31">
        <v>6.0609999999999999</v>
      </c>
      <c r="Q142" s="31">
        <v>6.1150000000000002</v>
      </c>
      <c r="R142" s="31">
        <v>6.165</v>
      </c>
      <c r="S142" s="31">
        <v>6.2119999999999997</v>
      </c>
      <c r="T142" s="167">
        <v>6.2560000000000002</v>
      </c>
    </row>
    <row r="143" spans="1:20" x14ac:dyDescent="0.25">
      <c r="A143">
        <v>38</v>
      </c>
      <c r="B143" s="166">
        <v>3.835</v>
      </c>
      <c r="C143" s="31">
        <v>4.3810000000000002</v>
      </c>
      <c r="D143" s="31">
        <v>4.7110000000000003</v>
      </c>
      <c r="E143" s="31">
        <v>4.9489999999999998</v>
      </c>
      <c r="F143" s="31">
        <v>5.1340000000000003</v>
      </c>
      <c r="G143" s="31">
        <v>5.2859999999999996</v>
      </c>
      <c r="H143" s="31">
        <v>5.4139999999999997</v>
      </c>
      <c r="I143" s="31">
        <v>5.5259999999999998</v>
      </c>
      <c r="J143" s="31">
        <v>5.6230000000000002</v>
      </c>
      <c r="K143" s="31">
        <v>5.7110000000000003</v>
      </c>
      <c r="L143" s="31">
        <v>5.79</v>
      </c>
      <c r="M143" s="31">
        <v>5.8620000000000001</v>
      </c>
      <c r="N143" s="31">
        <v>5.9279999999999999</v>
      </c>
      <c r="O143" s="31">
        <v>5.9889999999999999</v>
      </c>
      <c r="P143" s="31">
        <v>6.0460000000000003</v>
      </c>
      <c r="Q143" s="31">
        <v>6.0990000000000002</v>
      </c>
      <c r="R143" s="31">
        <v>6.1479999999999997</v>
      </c>
      <c r="S143" s="31">
        <v>6.1950000000000003</v>
      </c>
      <c r="T143" s="167">
        <v>6.2389999999999999</v>
      </c>
    </row>
    <row r="144" spans="1:20" x14ac:dyDescent="0.25">
      <c r="A144">
        <v>39</v>
      </c>
      <c r="B144" s="166">
        <v>3.83</v>
      </c>
      <c r="C144" s="31">
        <v>4.3739999999999997</v>
      </c>
      <c r="D144" s="31">
        <v>4.7030000000000003</v>
      </c>
      <c r="E144" s="31">
        <v>4.9400000000000004</v>
      </c>
      <c r="F144" s="31">
        <v>5.1239999999999997</v>
      </c>
      <c r="G144" s="31">
        <v>5.2750000000000004</v>
      </c>
      <c r="H144" s="31">
        <v>5.4029999999999996</v>
      </c>
      <c r="I144" s="31">
        <v>5.5129999999999999</v>
      </c>
      <c r="J144" s="31">
        <v>5.6109999999999998</v>
      </c>
      <c r="K144" s="31">
        <v>5.6980000000000004</v>
      </c>
      <c r="L144" s="31">
        <v>5.7759999999999998</v>
      </c>
      <c r="M144" s="31">
        <v>5.8479999999999999</v>
      </c>
      <c r="N144" s="31">
        <v>5.9139999999999997</v>
      </c>
      <c r="O144" s="31">
        <v>5.9740000000000002</v>
      </c>
      <c r="P144" s="31">
        <v>6.0309999999999997</v>
      </c>
      <c r="Q144" s="31">
        <v>6.0839999999999996</v>
      </c>
      <c r="R144" s="31">
        <v>6.133</v>
      </c>
      <c r="S144" s="31">
        <v>6.1790000000000003</v>
      </c>
      <c r="T144" s="167">
        <v>6.2229999999999999</v>
      </c>
    </row>
    <row r="145" spans="1:20" x14ac:dyDescent="0.25">
      <c r="A145">
        <v>40</v>
      </c>
      <c r="B145" s="166">
        <v>3.8250000000000002</v>
      </c>
      <c r="C145" s="31">
        <v>4.367</v>
      </c>
      <c r="D145" s="31">
        <v>4.6950000000000003</v>
      </c>
      <c r="E145" s="31">
        <v>4.931</v>
      </c>
      <c r="F145" s="31">
        <v>5.1139999999999999</v>
      </c>
      <c r="G145" s="31">
        <v>5.2649999999999997</v>
      </c>
      <c r="H145" s="31">
        <v>5.3920000000000003</v>
      </c>
      <c r="I145" s="31">
        <v>5.5019999999999998</v>
      </c>
      <c r="J145" s="31">
        <v>5.5990000000000002</v>
      </c>
      <c r="K145" s="31">
        <v>5.6849999999999996</v>
      </c>
      <c r="L145" s="31">
        <v>5.7640000000000002</v>
      </c>
      <c r="M145" s="31">
        <v>5.835</v>
      </c>
      <c r="N145" s="31">
        <v>5.9</v>
      </c>
      <c r="O145" s="31">
        <v>5.9610000000000003</v>
      </c>
      <c r="P145" s="31">
        <v>6.0170000000000003</v>
      </c>
      <c r="Q145" s="31">
        <v>6.069</v>
      </c>
      <c r="R145" s="31">
        <v>6.1180000000000003</v>
      </c>
      <c r="S145" s="31">
        <v>6.165</v>
      </c>
      <c r="T145" s="167">
        <v>6.2080000000000002</v>
      </c>
    </row>
    <row r="146" spans="1:20" x14ac:dyDescent="0.25">
      <c r="A146">
        <v>48</v>
      </c>
      <c r="B146" s="166">
        <v>3.7930000000000001</v>
      </c>
      <c r="C146" s="31">
        <v>4.3239999999999998</v>
      </c>
      <c r="D146" s="31">
        <v>4.6440000000000001</v>
      </c>
      <c r="E146" s="31">
        <v>4.8739999999999997</v>
      </c>
      <c r="F146" s="31">
        <v>5.0519999999999996</v>
      </c>
      <c r="G146" s="31">
        <v>5.1980000000000004</v>
      </c>
      <c r="H146" s="31">
        <v>5.3220000000000001</v>
      </c>
      <c r="I146" s="31">
        <v>5.4279999999999999</v>
      </c>
      <c r="J146" s="31">
        <v>5.5220000000000002</v>
      </c>
      <c r="K146" s="31">
        <v>5.6059999999999999</v>
      </c>
      <c r="L146" s="31">
        <v>5.681</v>
      </c>
      <c r="M146" s="31">
        <v>5.75</v>
      </c>
      <c r="N146" s="31">
        <v>5.8140000000000001</v>
      </c>
      <c r="O146" s="31">
        <v>5.8719999999999999</v>
      </c>
      <c r="P146" s="31">
        <v>5.9260000000000002</v>
      </c>
      <c r="Q146" s="31">
        <v>5.9770000000000003</v>
      </c>
      <c r="R146" s="31">
        <v>6.024</v>
      </c>
      <c r="S146" s="31">
        <v>6.069</v>
      </c>
      <c r="T146" s="167">
        <v>6.1109999999999998</v>
      </c>
    </row>
    <row r="147" spans="1:20" x14ac:dyDescent="0.25">
      <c r="A147">
        <v>60</v>
      </c>
      <c r="B147" s="166">
        <v>3.762</v>
      </c>
      <c r="C147" s="31">
        <v>4.282</v>
      </c>
      <c r="D147" s="31">
        <v>4.5940000000000003</v>
      </c>
      <c r="E147" s="31">
        <v>4.8179999999999996</v>
      </c>
      <c r="F147" s="31">
        <v>4.9909999999999997</v>
      </c>
      <c r="G147" s="31">
        <v>5.133</v>
      </c>
      <c r="H147" s="31">
        <v>5.2530000000000001</v>
      </c>
      <c r="I147" s="31">
        <v>5.3559999999999999</v>
      </c>
      <c r="J147" s="31">
        <v>5.4470000000000001</v>
      </c>
      <c r="K147" s="31">
        <v>5.5279999999999996</v>
      </c>
      <c r="L147" s="31">
        <v>5.601</v>
      </c>
      <c r="M147" s="31">
        <v>5.6669999999999998</v>
      </c>
      <c r="N147" s="31">
        <v>5.7279999999999998</v>
      </c>
      <c r="O147" s="31">
        <v>5.7839999999999998</v>
      </c>
      <c r="P147" s="31">
        <v>5.8369999999999997</v>
      </c>
      <c r="Q147" s="31">
        <v>5.8860000000000001</v>
      </c>
      <c r="R147" s="31">
        <v>5.931</v>
      </c>
      <c r="S147" s="31">
        <v>5.9740000000000002</v>
      </c>
      <c r="T147" s="167">
        <v>6.0149999999999997</v>
      </c>
    </row>
    <row r="148" spans="1:20" x14ac:dyDescent="0.25">
      <c r="A148">
        <v>80</v>
      </c>
      <c r="B148" s="166">
        <v>3.7320000000000002</v>
      </c>
      <c r="C148" s="31">
        <v>4.2409999999999997</v>
      </c>
      <c r="D148" s="31">
        <v>4.5449999999999999</v>
      </c>
      <c r="E148" s="31">
        <v>4.7629999999999999</v>
      </c>
      <c r="F148" s="31">
        <v>4.931</v>
      </c>
      <c r="G148" s="31">
        <v>5.069</v>
      </c>
      <c r="H148" s="31">
        <v>5.1849999999999996</v>
      </c>
      <c r="I148" s="31">
        <v>5.2839999999999998</v>
      </c>
      <c r="J148" s="31">
        <v>5.3719999999999999</v>
      </c>
      <c r="K148" s="31">
        <v>5.4509999999999996</v>
      </c>
      <c r="L148" s="31">
        <v>5.5209999999999999</v>
      </c>
      <c r="M148" s="31">
        <v>5.585</v>
      </c>
      <c r="N148" s="31">
        <v>5.6440000000000001</v>
      </c>
      <c r="O148" s="31">
        <v>5.6980000000000004</v>
      </c>
      <c r="P148" s="31">
        <v>5.7489999999999997</v>
      </c>
      <c r="Q148" s="31">
        <v>5.7960000000000003</v>
      </c>
      <c r="R148" s="31">
        <v>5.84</v>
      </c>
      <c r="S148" s="31">
        <v>5.8810000000000002</v>
      </c>
      <c r="T148" s="167">
        <v>5.92</v>
      </c>
    </row>
    <row r="149" spans="1:20" x14ac:dyDescent="0.25">
      <c r="A149">
        <v>120</v>
      </c>
      <c r="B149" s="166">
        <v>3.702</v>
      </c>
      <c r="C149" s="31">
        <v>4.2</v>
      </c>
      <c r="D149" s="31">
        <v>4.4969999999999999</v>
      </c>
      <c r="E149" s="31">
        <v>4.7089999999999996</v>
      </c>
      <c r="F149" s="31">
        <v>4.8719999999999999</v>
      </c>
      <c r="G149" s="31">
        <v>5.0049999999999999</v>
      </c>
      <c r="H149" s="31">
        <v>5.1180000000000003</v>
      </c>
      <c r="I149" s="31">
        <v>5.2140000000000004</v>
      </c>
      <c r="J149" s="31">
        <v>5.2990000000000004</v>
      </c>
      <c r="K149" s="31">
        <v>5.375</v>
      </c>
      <c r="L149" s="31">
        <v>5.4429999999999996</v>
      </c>
      <c r="M149" s="31">
        <v>5.5049999999999999</v>
      </c>
      <c r="N149" s="31">
        <v>5.5609999999999999</v>
      </c>
      <c r="O149" s="31">
        <v>5.6139999999999999</v>
      </c>
      <c r="P149" s="31">
        <v>5.6619999999999999</v>
      </c>
      <c r="Q149" s="31">
        <v>5.7080000000000002</v>
      </c>
      <c r="R149" s="31">
        <v>5.75</v>
      </c>
      <c r="S149" s="31">
        <v>5.79</v>
      </c>
      <c r="T149" s="167">
        <v>5.827</v>
      </c>
    </row>
    <row r="150" spans="1:20" x14ac:dyDescent="0.25">
      <c r="A150">
        <v>240</v>
      </c>
      <c r="B150" s="166">
        <v>3.6720000000000002</v>
      </c>
      <c r="C150" s="31">
        <v>4.16</v>
      </c>
      <c r="D150" s="31">
        <v>4.45</v>
      </c>
      <c r="E150" s="31">
        <v>4.6550000000000002</v>
      </c>
      <c r="F150" s="31">
        <v>4.8140000000000001</v>
      </c>
      <c r="G150" s="31">
        <v>4.9429999999999996</v>
      </c>
      <c r="H150" s="31">
        <v>5.0519999999999996</v>
      </c>
      <c r="I150" s="31">
        <v>5.1449999999999996</v>
      </c>
      <c r="J150" s="31">
        <v>5.2270000000000003</v>
      </c>
      <c r="K150" s="31">
        <v>5.3</v>
      </c>
      <c r="L150" s="31">
        <v>5.3659999999999997</v>
      </c>
      <c r="M150" s="31">
        <v>5.4260000000000002</v>
      </c>
      <c r="N150" s="31">
        <v>5.48</v>
      </c>
      <c r="O150" s="31">
        <v>5.53</v>
      </c>
      <c r="P150" s="31">
        <v>5.577</v>
      </c>
      <c r="Q150" s="31">
        <v>5.6210000000000004</v>
      </c>
      <c r="R150" s="31">
        <v>5.6609999999999996</v>
      </c>
      <c r="S150" s="31">
        <v>5.6989999999999998</v>
      </c>
      <c r="T150" s="167">
        <v>5.7350000000000003</v>
      </c>
    </row>
    <row r="151" spans="1:20" x14ac:dyDescent="0.25">
      <c r="A151" s="12" t="s">
        <v>56</v>
      </c>
      <c r="B151" s="168">
        <v>3.6429999999999998</v>
      </c>
      <c r="C151" s="218">
        <v>4.12</v>
      </c>
      <c r="D151" s="218">
        <v>4.4029999999999996</v>
      </c>
      <c r="E151" s="218">
        <v>4.6029999999999998</v>
      </c>
      <c r="F151" s="218">
        <v>4.7569999999999997</v>
      </c>
      <c r="G151" s="218">
        <v>4.8819999999999997</v>
      </c>
      <c r="H151" s="218">
        <v>4.9870000000000001</v>
      </c>
      <c r="I151" s="218">
        <v>5.0780000000000003</v>
      </c>
      <c r="J151" s="218">
        <v>5.157</v>
      </c>
      <c r="K151" s="218">
        <v>5.2270000000000003</v>
      </c>
      <c r="L151" s="218">
        <v>5.29</v>
      </c>
      <c r="M151" s="218">
        <v>5.3479999999999999</v>
      </c>
      <c r="N151" s="218">
        <v>5.4</v>
      </c>
      <c r="O151" s="218">
        <v>5.4480000000000004</v>
      </c>
      <c r="P151" s="218">
        <v>5.4930000000000003</v>
      </c>
      <c r="Q151" s="218">
        <v>5.5350000000000001</v>
      </c>
      <c r="R151" s="218">
        <v>5.5739999999999998</v>
      </c>
      <c r="S151" s="218">
        <v>5.6109999999999998</v>
      </c>
      <c r="T151" s="169">
        <v>5.6449999999999996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"/>
  <dimension ref="A1:W151"/>
  <sheetViews>
    <sheetView workbookViewId="0"/>
  </sheetViews>
  <sheetFormatPr defaultRowHeight="15" x14ac:dyDescent="0.25"/>
  <cols>
    <col min="1" max="1" width="5.5703125" customWidth="1"/>
    <col min="2" max="23" width="6.7109375" customWidth="1"/>
  </cols>
  <sheetData>
    <row r="1" spans="1:23" x14ac:dyDescent="0.25">
      <c r="A1" s="1" t="s">
        <v>54</v>
      </c>
    </row>
    <row r="3" spans="1:23" x14ac:dyDescent="0.25">
      <c r="A3" t="s">
        <v>17</v>
      </c>
      <c r="B3">
        <v>0.01</v>
      </c>
    </row>
    <row r="4" spans="1:23" x14ac:dyDescent="0.25">
      <c r="B4" t="s">
        <v>55</v>
      </c>
    </row>
    <row r="5" spans="1:23" x14ac:dyDescent="0.25">
      <c r="A5" s="12" t="s">
        <v>37</v>
      </c>
      <c r="B5">
        <v>2</v>
      </c>
      <c r="C5">
        <f>B5+1</f>
        <v>3</v>
      </c>
      <c r="D5">
        <f t="shared" ref="D5:L5" si="0">C5+1</f>
        <v>4</v>
      </c>
      <c r="E5">
        <f t="shared" si="0"/>
        <v>5</v>
      </c>
      <c r="F5">
        <f t="shared" si="0"/>
        <v>6</v>
      </c>
      <c r="G5">
        <f t="shared" si="0"/>
        <v>7</v>
      </c>
      <c r="H5">
        <f t="shared" si="0"/>
        <v>8</v>
      </c>
      <c r="I5">
        <f t="shared" si="0"/>
        <v>9</v>
      </c>
      <c r="J5">
        <f t="shared" si="0"/>
        <v>10</v>
      </c>
      <c r="K5">
        <f t="shared" si="0"/>
        <v>11</v>
      </c>
      <c r="L5">
        <f t="shared" si="0"/>
        <v>12</v>
      </c>
      <c r="M5">
        <v>13</v>
      </c>
      <c r="N5">
        <f>M5+1</f>
        <v>14</v>
      </c>
      <c r="O5">
        <f>N5+1</f>
        <v>15</v>
      </c>
      <c r="P5">
        <f>O5+1</f>
        <v>16</v>
      </c>
      <c r="Q5">
        <f>P5+2</f>
        <v>18</v>
      </c>
      <c r="R5">
        <f>Q5+2</f>
        <v>20</v>
      </c>
      <c r="S5">
        <f>R5+4</f>
        <v>24</v>
      </c>
      <c r="T5">
        <f>S5+4</f>
        <v>28</v>
      </c>
      <c r="U5">
        <f>T5+4</f>
        <v>32</v>
      </c>
      <c r="V5">
        <f>U5+4</f>
        <v>36</v>
      </c>
      <c r="W5">
        <f>V5+4</f>
        <v>40</v>
      </c>
    </row>
    <row r="6" spans="1:23" ht="15.75" customHeight="1" x14ac:dyDescent="0.25">
      <c r="A6">
        <v>1</v>
      </c>
      <c r="B6" s="3">
        <v>90.03</v>
      </c>
      <c r="C6" s="212">
        <v>135</v>
      </c>
      <c r="D6" s="192">
        <v>164.3</v>
      </c>
      <c r="E6" s="192">
        <v>185.6</v>
      </c>
      <c r="F6" s="192">
        <v>202.2</v>
      </c>
      <c r="G6" s="192">
        <v>215.8</v>
      </c>
      <c r="H6" s="192">
        <v>227.2</v>
      </c>
      <c r="I6" s="212">
        <v>237</v>
      </c>
      <c r="J6" s="192">
        <v>245.6</v>
      </c>
      <c r="K6" s="192">
        <v>253.2</v>
      </c>
      <c r="L6" s="212">
        <v>260</v>
      </c>
      <c r="M6" s="192">
        <v>266.2</v>
      </c>
      <c r="N6" s="192">
        <v>271.8</v>
      </c>
      <c r="O6" s="212">
        <v>277</v>
      </c>
      <c r="P6" s="192">
        <v>281.8</v>
      </c>
      <c r="Q6" s="192">
        <v>290.39999999999998</v>
      </c>
      <c r="R6" s="212">
        <v>298</v>
      </c>
      <c r="S6" s="192">
        <v>310.8</v>
      </c>
      <c r="T6" s="192">
        <v>321.3</v>
      </c>
      <c r="U6" s="192">
        <v>330.3</v>
      </c>
      <c r="V6" s="212">
        <v>338</v>
      </c>
      <c r="W6" s="5">
        <v>344.8</v>
      </c>
    </row>
    <row r="7" spans="1:23" x14ac:dyDescent="0.25">
      <c r="A7">
        <v>2</v>
      </c>
      <c r="B7" s="107">
        <v>14.04</v>
      </c>
      <c r="C7" s="7">
        <v>19.02</v>
      </c>
      <c r="D7" s="7">
        <v>22.29</v>
      </c>
      <c r="E7" s="7">
        <v>24.72</v>
      </c>
      <c r="F7" s="7">
        <v>26.63</v>
      </c>
      <c r="G7" s="29">
        <v>28.2</v>
      </c>
      <c r="H7" s="7">
        <v>29.53</v>
      </c>
      <c r="I7" s="7">
        <v>30.68</v>
      </c>
      <c r="J7" s="7">
        <v>31.69</v>
      </c>
      <c r="K7" s="7">
        <v>32.590000000000003</v>
      </c>
      <c r="L7" s="29">
        <v>33.4</v>
      </c>
      <c r="M7" s="7">
        <v>34.130000000000003</v>
      </c>
      <c r="N7" s="7">
        <v>34.81</v>
      </c>
      <c r="O7" s="7">
        <v>35.43</v>
      </c>
      <c r="P7" s="29">
        <v>36</v>
      </c>
      <c r="Q7" s="7">
        <v>37.03</v>
      </c>
      <c r="R7" s="7">
        <v>37.950000000000003</v>
      </c>
      <c r="S7" s="7">
        <v>39.49</v>
      </c>
      <c r="T7" s="7">
        <v>40.76</v>
      </c>
      <c r="U7" s="7">
        <v>41.84</v>
      </c>
      <c r="V7" s="7">
        <v>42.78</v>
      </c>
      <c r="W7" s="108">
        <v>43.61</v>
      </c>
    </row>
    <row r="8" spans="1:23" x14ac:dyDescent="0.25">
      <c r="A8">
        <v>3</v>
      </c>
      <c r="B8" s="107">
        <v>8.2609999999999992</v>
      </c>
      <c r="C8" s="7">
        <v>10.62</v>
      </c>
      <c r="D8" s="7">
        <v>12.17</v>
      </c>
      <c r="E8" s="7">
        <v>13.33</v>
      </c>
      <c r="F8" s="7">
        <v>14.24</v>
      </c>
      <c r="G8" s="29">
        <v>15</v>
      </c>
      <c r="H8" s="7">
        <v>15.64</v>
      </c>
      <c r="I8" s="29">
        <v>16.2</v>
      </c>
      <c r="J8" s="7">
        <v>16.690000000000001</v>
      </c>
      <c r="K8" s="7">
        <v>17.13</v>
      </c>
      <c r="L8" s="7">
        <v>17.53</v>
      </c>
      <c r="M8" s="7">
        <v>17.89</v>
      </c>
      <c r="N8" s="7">
        <v>18.22</v>
      </c>
      <c r="O8" s="7">
        <v>18.52</v>
      </c>
      <c r="P8" s="7">
        <v>18.809999999999999</v>
      </c>
      <c r="Q8" s="7">
        <v>19.32</v>
      </c>
      <c r="R8" s="7">
        <v>19.77</v>
      </c>
      <c r="S8" s="7">
        <v>20.53</v>
      </c>
      <c r="T8" s="7">
        <v>21.16</v>
      </c>
      <c r="U8" s="29">
        <v>21.7</v>
      </c>
      <c r="V8" s="7">
        <v>22.17</v>
      </c>
      <c r="W8" s="108">
        <v>22.59</v>
      </c>
    </row>
    <row r="9" spans="1:23" x14ac:dyDescent="0.25">
      <c r="A9">
        <v>4</v>
      </c>
      <c r="B9" s="107">
        <v>6.5119999999999996</v>
      </c>
      <c r="C9" s="31">
        <v>8.1199999999999992</v>
      </c>
      <c r="D9" s="7">
        <v>9.173</v>
      </c>
      <c r="E9" s="7">
        <v>9.9580000000000002</v>
      </c>
      <c r="F9" s="7">
        <v>10.58</v>
      </c>
      <c r="G9" s="29">
        <v>11.1</v>
      </c>
      <c r="H9" s="7">
        <v>11.55</v>
      </c>
      <c r="I9" s="7">
        <v>11.93</v>
      </c>
      <c r="J9" s="7">
        <v>12.27</v>
      </c>
      <c r="K9" s="7">
        <v>12.57</v>
      </c>
      <c r="L9" s="7">
        <v>12.84</v>
      </c>
      <c r="M9" s="7">
        <v>13.09</v>
      </c>
      <c r="N9" s="7">
        <v>13.32</v>
      </c>
      <c r="O9" s="7">
        <v>13.53</v>
      </c>
      <c r="P9" s="7">
        <v>13.73</v>
      </c>
      <c r="Q9" s="7">
        <v>14.08</v>
      </c>
      <c r="R9" s="29">
        <v>14.4</v>
      </c>
      <c r="S9" s="7">
        <v>14.93</v>
      </c>
      <c r="T9" s="7">
        <v>15.37</v>
      </c>
      <c r="U9" s="7">
        <v>15.75</v>
      </c>
      <c r="V9" s="7">
        <v>16.079999999999998</v>
      </c>
      <c r="W9" s="108">
        <v>16.37</v>
      </c>
    </row>
    <row r="10" spans="1:23" x14ac:dyDescent="0.25">
      <c r="A10">
        <v>5</v>
      </c>
      <c r="B10" s="107">
        <v>5.702</v>
      </c>
      <c r="C10" s="7">
        <v>6.976</v>
      </c>
      <c r="D10" s="7">
        <v>7.8040000000000003</v>
      </c>
      <c r="E10" s="7">
        <v>8.4209999999999994</v>
      </c>
      <c r="F10" s="7">
        <v>8.9130000000000003</v>
      </c>
      <c r="G10" s="7">
        <v>9.3209999999999997</v>
      </c>
      <c r="H10" s="7">
        <v>9.6690000000000005</v>
      </c>
      <c r="I10" s="7">
        <v>9.9719999999999995</v>
      </c>
      <c r="J10" s="7">
        <v>10.24</v>
      </c>
      <c r="K10" s="7">
        <v>10.48</v>
      </c>
      <c r="L10" s="29">
        <v>10.7</v>
      </c>
      <c r="M10" s="7">
        <v>10.89</v>
      </c>
      <c r="N10" s="7">
        <v>11.08</v>
      </c>
      <c r="O10" s="7">
        <v>11.24</v>
      </c>
      <c r="P10" s="29">
        <v>11.4</v>
      </c>
      <c r="Q10" s="7">
        <v>11.68</v>
      </c>
      <c r="R10" s="7">
        <v>11.93</v>
      </c>
      <c r="S10" s="7">
        <v>12.36</v>
      </c>
      <c r="T10" s="7">
        <v>12.71</v>
      </c>
      <c r="U10" s="7">
        <v>13.02</v>
      </c>
      <c r="V10" s="7">
        <v>13.28</v>
      </c>
      <c r="W10" s="108">
        <v>13.52</v>
      </c>
    </row>
    <row r="11" spans="1:23" x14ac:dyDescent="0.25">
      <c r="A11">
        <v>6</v>
      </c>
      <c r="B11" s="107">
        <v>5.2430000000000003</v>
      </c>
      <c r="C11" s="7">
        <v>6.3310000000000004</v>
      </c>
      <c r="D11" s="7">
        <v>7.0330000000000004</v>
      </c>
      <c r="E11" s="7">
        <v>7.556</v>
      </c>
      <c r="F11" s="7">
        <v>7.9729999999999999</v>
      </c>
      <c r="G11" s="7">
        <v>8.3179999999999996</v>
      </c>
      <c r="H11" s="7">
        <v>8.6129999999999995</v>
      </c>
      <c r="I11" s="7">
        <v>8.8689999999999998</v>
      </c>
      <c r="J11" s="7">
        <v>9.0969999999999995</v>
      </c>
      <c r="K11" s="7">
        <v>9.3010000000000002</v>
      </c>
      <c r="L11" s="7">
        <v>9.4849999999999994</v>
      </c>
      <c r="M11" s="7">
        <v>9.6530000000000005</v>
      </c>
      <c r="N11" s="7">
        <v>9.8079999999999998</v>
      </c>
      <c r="O11" s="7">
        <v>9.9510000000000005</v>
      </c>
      <c r="P11" s="7">
        <v>10.08</v>
      </c>
      <c r="Q11" s="7">
        <v>10.32</v>
      </c>
      <c r="R11" s="7">
        <v>10.54</v>
      </c>
      <c r="S11" s="7">
        <v>10.91</v>
      </c>
      <c r="T11" s="7">
        <v>11.21</v>
      </c>
      <c r="U11" s="7">
        <v>11.47</v>
      </c>
      <c r="V11" s="7">
        <v>11.69</v>
      </c>
      <c r="W11" s="145">
        <v>11.9</v>
      </c>
    </row>
    <row r="12" spans="1:23" x14ac:dyDescent="0.25">
      <c r="A12">
        <v>7</v>
      </c>
      <c r="B12" s="166">
        <v>4.9489999999999998</v>
      </c>
      <c r="C12" s="31">
        <v>5.9189999999999996</v>
      </c>
      <c r="D12" s="31">
        <v>6.5430000000000001</v>
      </c>
      <c r="E12" s="31">
        <v>7.0049999999999999</v>
      </c>
      <c r="F12" s="31">
        <v>7.3730000000000002</v>
      </c>
      <c r="G12" s="31">
        <v>7.6790000000000003</v>
      </c>
      <c r="H12" s="31">
        <v>7.9390000000000001</v>
      </c>
      <c r="I12" s="31">
        <v>8.1660000000000004</v>
      </c>
      <c r="J12" s="31">
        <v>8.3680000000000003</v>
      </c>
      <c r="K12" s="31">
        <v>8.548</v>
      </c>
      <c r="L12" s="31">
        <v>8.7110000000000003</v>
      </c>
      <c r="M12" s="31">
        <v>8.86</v>
      </c>
      <c r="N12" s="31">
        <v>8.9969999999999999</v>
      </c>
      <c r="O12" s="31">
        <v>9.1240000000000006</v>
      </c>
      <c r="P12" s="31">
        <v>9.2420000000000009</v>
      </c>
      <c r="Q12" s="31">
        <v>9.4559999999999995</v>
      </c>
      <c r="R12" s="31">
        <v>9.6460000000000008</v>
      </c>
      <c r="S12" s="31">
        <v>9.9700000000000006</v>
      </c>
      <c r="T12" s="29">
        <v>10.24</v>
      </c>
      <c r="U12" s="29">
        <v>10.47</v>
      </c>
      <c r="V12" s="29">
        <v>10.67</v>
      </c>
      <c r="W12" s="145">
        <v>10.85</v>
      </c>
    </row>
    <row r="13" spans="1:23" x14ac:dyDescent="0.25">
      <c r="A13">
        <v>8</v>
      </c>
      <c r="B13" s="166">
        <v>4.7460000000000004</v>
      </c>
      <c r="C13" s="31">
        <v>5.6349999999999998</v>
      </c>
      <c r="D13" s="31">
        <v>6.2039999999999997</v>
      </c>
      <c r="E13" s="31">
        <v>6.625</v>
      </c>
      <c r="F13" s="31">
        <v>6.96</v>
      </c>
      <c r="G13" s="31">
        <v>7.2370000000000001</v>
      </c>
      <c r="H13" s="31">
        <v>7.4740000000000002</v>
      </c>
      <c r="I13" s="31">
        <v>7.681</v>
      </c>
      <c r="J13" s="31">
        <v>7.8630000000000004</v>
      </c>
      <c r="K13" s="31">
        <v>8.0269999999999992</v>
      </c>
      <c r="L13" s="31">
        <v>8.1760000000000002</v>
      </c>
      <c r="M13" s="31">
        <v>8.3119999999999994</v>
      </c>
      <c r="N13" s="31">
        <v>8.4359999999999999</v>
      </c>
      <c r="O13" s="31">
        <v>8.5519999999999996</v>
      </c>
      <c r="P13" s="31">
        <v>8.6590000000000007</v>
      </c>
      <c r="Q13" s="31">
        <v>8.8539999999999992</v>
      </c>
      <c r="R13" s="31">
        <v>9.0269999999999992</v>
      </c>
      <c r="S13" s="31">
        <v>9.3219999999999992</v>
      </c>
      <c r="T13" s="31">
        <v>9.5690000000000008</v>
      </c>
      <c r="U13" s="31">
        <v>9.7789999999999999</v>
      </c>
      <c r="V13" s="31">
        <v>9.9640000000000004</v>
      </c>
      <c r="W13" s="145">
        <v>10.130000000000001</v>
      </c>
    </row>
    <row r="14" spans="1:23" x14ac:dyDescent="0.25">
      <c r="A14">
        <v>9</v>
      </c>
      <c r="B14" s="166">
        <v>4.5960000000000001</v>
      </c>
      <c r="C14" s="31">
        <v>5.4279999999999999</v>
      </c>
      <c r="D14" s="31">
        <v>5.9569999999999999</v>
      </c>
      <c r="E14" s="31">
        <v>6.3479999999999999</v>
      </c>
      <c r="F14" s="31">
        <v>6.6580000000000004</v>
      </c>
      <c r="G14" s="31">
        <v>6.915</v>
      </c>
      <c r="H14" s="31">
        <v>7.1340000000000003</v>
      </c>
      <c r="I14" s="31">
        <v>7.3250000000000002</v>
      </c>
      <c r="J14" s="31">
        <v>7.4950000000000001</v>
      </c>
      <c r="K14" s="31">
        <v>7.6470000000000002</v>
      </c>
      <c r="L14" s="31">
        <v>7.7839999999999998</v>
      </c>
      <c r="M14" s="31">
        <v>7.91</v>
      </c>
      <c r="N14" s="31">
        <v>8.0250000000000004</v>
      </c>
      <c r="O14" s="31">
        <v>8.1319999999999997</v>
      </c>
      <c r="P14" s="31">
        <v>8.2319999999999993</v>
      </c>
      <c r="Q14" s="31">
        <v>8.4120000000000008</v>
      </c>
      <c r="R14" s="31">
        <v>8.5730000000000004</v>
      </c>
      <c r="S14" s="31">
        <v>8.8469999999999995</v>
      </c>
      <c r="T14" s="31">
        <v>9.0749999999999993</v>
      </c>
      <c r="U14" s="31">
        <v>9.2710000000000008</v>
      </c>
      <c r="V14" s="31">
        <v>9.4429999999999996</v>
      </c>
      <c r="W14" s="167">
        <v>9.5939999999999994</v>
      </c>
    </row>
    <row r="15" spans="1:23" x14ac:dyDescent="0.25">
      <c r="A15">
        <v>10</v>
      </c>
      <c r="B15" s="166">
        <v>4.4820000000000002</v>
      </c>
      <c r="C15" s="31">
        <v>5.27</v>
      </c>
      <c r="D15" s="31">
        <v>5.7690000000000001</v>
      </c>
      <c r="E15" s="31">
        <v>6.1360000000000001</v>
      </c>
      <c r="F15" s="31">
        <v>6.4279999999999999</v>
      </c>
      <c r="G15" s="31">
        <v>6.6689999999999996</v>
      </c>
      <c r="H15" s="31">
        <v>6.875</v>
      </c>
      <c r="I15" s="31">
        <v>7.0549999999999997</v>
      </c>
      <c r="J15" s="31">
        <v>7.2130000000000001</v>
      </c>
      <c r="K15" s="31">
        <v>7.3559999999999999</v>
      </c>
      <c r="L15" s="31">
        <v>7.4850000000000003</v>
      </c>
      <c r="M15" s="31">
        <v>7.6029999999999998</v>
      </c>
      <c r="N15" s="31">
        <v>7.7119999999999997</v>
      </c>
      <c r="O15" s="31">
        <v>7.8120000000000003</v>
      </c>
      <c r="P15" s="31">
        <v>7.9059999999999997</v>
      </c>
      <c r="Q15" s="31">
        <v>8.0760000000000005</v>
      </c>
      <c r="R15" s="31">
        <v>8.2260000000000009</v>
      </c>
      <c r="S15" s="31">
        <v>8.4830000000000005</v>
      </c>
      <c r="T15" s="31">
        <v>8.6980000000000004</v>
      </c>
      <c r="U15" s="31">
        <v>8.8829999999999991</v>
      </c>
      <c r="V15" s="31">
        <v>9.0440000000000005</v>
      </c>
      <c r="W15" s="167">
        <v>9.1869999999999994</v>
      </c>
    </row>
    <row r="16" spans="1:23" x14ac:dyDescent="0.25">
      <c r="A16">
        <v>11</v>
      </c>
      <c r="B16" s="166">
        <v>4.3920000000000003</v>
      </c>
      <c r="C16" s="31">
        <v>5.1459999999999999</v>
      </c>
      <c r="D16" s="31">
        <v>5.6210000000000004</v>
      </c>
      <c r="E16" s="31">
        <v>5.97</v>
      </c>
      <c r="F16" s="31">
        <v>6.2469999999999999</v>
      </c>
      <c r="G16" s="31">
        <v>6.476</v>
      </c>
      <c r="H16" s="31">
        <v>6.6719999999999997</v>
      </c>
      <c r="I16" s="31">
        <v>6.8419999999999996</v>
      </c>
      <c r="J16" s="31">
        <v>6.992</v>
      </c>
      <c r="K16" s="31">
        <v>7.1280000000000001</v>
      </c>
      <c r="L16" s="31">
        <v>7.25</v>
      </c>
      <c r="M16" s="31">
        <v>7.3620000000000001</v>
      </c>
      <c r="N16" s="31">
        <v>7.4649999999999999</v>
      </c>
      <c r="O16" s="31">
        <v>7.56</v>
      </c>
      <c r="P16" s="31">
        <v>7.649</v>
      </c>
      <c r="Q16" s="31">
        <v>7.8090000000000002</v>
      </c>
      <c r="R16" s="31">
        <v>7.952</v>
      </c>
      <c r="S16" s="31">
        <v>8.1959999999999997</v>
      </c>
      <c r="T16" s="31">
        <v>8.4</v>
      </c>
      <c r="U16" s="31">
        <v>8.5749999999999993</v>
      </c>
      <c r="V16" s="31">
        <v>8.7279999999999998</v>
      </c>
      <c r="W16" s="167">
        <v>8.8640000000000008</v>
      </c>
    </row>
    <row r="17" spans="1:23" x14ac:dyDescent="0.25">
      <c r="A17">
        <v>12</v>
      </c>
      <c r="B17" s="166">
        <v>4.32</v>
      </c>
      <c r="C17" s="31">
        <v>5.0460000000000003</v>
      </c>
      <c r="D17" s="31">
        <v>5.5019999999999998</v>
      </c>
      <c r="E17" s="31">
        <v>5.8360000000000003</v>
      </c>
      <c r="F17" s="31">
        <v>6.101</v>
      </c>
      <c r="G17" s="31">
        <v>6.3209999999999997</v>
      </c>
      <c r="H17" s="31">
        <v>6.5069999999999997</v>
      </c>
      <c r="I17" s="31">
        <v>6.67</v>
      </c>
      <c r="J17" s="31">
        <v>6.8140000000000001</v>
      </c>
      <c r="K17" s="31">
        <v>6.9429999999999996</v>
      </c>
      <c r="L17" s="31">
        <v>7.06</v>
      </c>
      <c r="M17" s="31">
        <v>7.1669999999999998</v>
      </c>
      <c r="N17" s="31">
        <v>7.2649999999999997</v>
      </c>
      <c r="O17" s="31">
        <v>7.3559999999999999</v>
      </c>
      <c r="P17" s="31">
        <v>7.4409999999999998</v>
      </c>
      <c r="Q17" s="31">
        <v>7.5940000000000003</v>
      </c>
      <c r="R17" s="31">
        <v>7.7309999999999999</v>
      </c>
      <c r="S17" s="31">
        <v>7.9640000000000004</v>
      </c>
      <c r="T17" s="31">
        <v>8.1590000000000007</v>
      </c>
      <c r="U17" s="31">
        <v>8.327</v>
      </c>
      <c r="V17" s="31">
        <v>8.4730000000000008</v>
      </c>
      <c r="W17" s="167">
        <v>8.6029999999999998</v>
      </c>
    </row>
    <row r="18" spans="1:23" x14ac:dyDescent="0.25">
      <c r="A18">
        <v>13</v>
      </c>
      <c r="B18" s="166">
        <v>4.26</v>
      </c>
      <c r="C18" s="31">
        <v>4.9640000000000004</v>
      </c>
      <c r="D18" s="31">
        <v>5.4039999999999999</v>
      </c>
      <c r="E18" s="31">
        <v>5.7270000000000003</v>
      </c>
      <c r="F18" s="31">
        <v>5.9809999999999999</v>
      </c>
      <c r="G18" s="31">
        <v>6.1920000000000002</v>
      </c>
      <c r="H18" s="31">
        <v>6.3719999999999999</v>
      </c>
      <c r="I18" s="31">
        <v>6.5279999999999996</v>
      </c>
      <c r="J18" s="31">
        <v>6.6669999999999998</v>
      </c>
      <c r="K18" s="31">
        <v>6.7910000000000004</v>
      </c>
      <c r="L18" s="31">
        <v>6.9029999999999996</v>
      </c>
      <c r="M18" s="31">
        <v>7.0060000000000002</v>
      </c>
      <c r="N18" s="31">
        <v>7.101</v>
      </c>
      <c r="O18" s="31">
        <v>7.1879999999999997</v>
      </c>
      <c r="P18" s="31">
        <v>7.2690000000000001</v>
      </c>
      <c r="Q18" s="31">
        <v>7.4169999999999998</v>
      </c>
      <c r="R18" s="31">
        <v>7.548</v>
      </c>
      <c r="S18" s="31">
        <v>7.7720000000000002</v>
      </c>
      <c r="T18" s="31">
        <v>7.96</v>
      </c>
      <c r="U18" s="31">
        <v>8.1210000000000004</v>
      </c>
      <c r="V18" s="31">
        <v>8.2620000000000005</v>
      </c>
      <c r="W18" s="167">
        <v>8.3870000000000005</v>
      </c>
    </row>
    <row r="19" spans="1:23" x14ac:dyDescent="0.25">
      <c r="A19">
        <v>14</v>
      </c>
      <c r="B19" s="166">
        <v>4.21</v>
      </c>
      <c r="C19" s="31">
        <v>4.8949999999999996</v>
      </c>
      <c r="D19" s="31">
        <v>5.3220000000000001</v>
      </c>
      <c r="E19" s="31">
        <v>5.6340000000000003</v>
      </c>
      <c r="F19" s="31">
        <v>5.8810000000000002</v>
      </c>
      <c r="G19" s="31">
        <v>6.085</v>
      </c>
      <c r="H19" s="31">
        <v>6.258</v>
      </c>
      <c r="I19" s="31">
        <v>6.4089999999999998</v>
      </c>
      <c r="J19" s="31">
        <v>6.5430000000000001</v>
      </c>
      <c r="K19" s="31">
        <v>6.6639999999999997</v>
      </c>
      <c r="L19" s="31">
        <v>6.7720000000000002</v>
      </c>
      <c r="M19" s="31">
        <v>5.8710000000000004</v>
      </c>
      <c r="N19" s="31">
        <v>6.9619999999999997</v>
      </c>
      <c r="O19" s="31">
        <v>7.0469999999999997</v>
      </c>
      <c r="P19" s="31">
        <v>7.1260000000000003</v>
      </c>
      <c r="Q19" s="31">
        <v>7.2679999999999998</v>
      </c>
      <c r="R19" s="31">
        <v>7.3949999999999996</v>
      </c>
      <c r="S19" s="31">
        <v>7.6109999999999998</v>
      </c>
      <c r="T19" s="31">
        <v>7.7919999999999998</v>
      </c>
      <c r="U19" s="31">
        <v>7.9480000000000004</v>
      </c>
      <c r="V19" s="31">
        <v>8.0839999999999996</v>
      </c>
      <c r="W19" s="167">
        <v>8.2040000000000006</v>
      </c>
    </row>
    <row r="20" spans="1:23" x14ac:dyDescent="0.25">
      <c r="A20">
        <v>15</v>
      </c>
      <c r="B20" s="166">
        <v>4.1680000000000001</v>
      </c>
      <c r="C20" s="31">
        <v>4.8360000000000003</v>
      </c>
      <c r="D20" s="31">
        <v>5.2519999999999998</v>
      </c>
      <c r="E20" s="31">
        <v>5.556</v>
      </c>
      <c r="F20" s="31">
        <v>5.7960000000000003</v>
      </c>
      <c r="G20" s="31">
        <v>5.9939999999999998</v>
      </c>
      <c r="H20" s="31">
        <v>6.1619999999999999</v>
      </c>
      <c r="I20" s="31">
        <v>6.3090000000000002</v>
      </c>
      <c r="J20" s="31">
        <v>6.4390000000000001</v>
      </c>
      <c r="K20" s="31">
        <v>6.5549999999999997</v>
      </c>
      <c r="L20" s="31">
        <v>6.66</v>
      </c>
      <c r="M20" s="31">
        <v>5.7569999999999997</v>
      </c>
      <c r="N20" s="31">
        <v>6.8449999999999998</v>
      </c>
      <c r="O20" s="31">
        <v>6.9269999999999996</v>
      </c>
      <c r="P20" s="31">
        <v>7.0030000000000001</v>
      </c>
      <c r="Q20" s="31">
        <v>7.1420000000000003</v>
      </c>
      <c r="R20" s="31">
        <v>7.2640000000000002</v>
      </c>
      <c r="S20" s="31">
        <v>7.4740000000000002</v>
      </c>
      <c r="T20" s="31">
        <v>7.65</v>
      </c>
      <c r="U20" s="31">
        <v>7.8</v>
      </c>
      <c r="V20" s="31">
        <v>7.9320000000000004</v>
      </c>
      <c r="W20" s="167">
        <v>8.0489999999999995</v>
      </c>
    </row>
    <row r="21" spans="1:23" x14ac:dyDescent="0.25">
      <c r="A21">
        <v>16</v>
      </c>
      <c r="B21" s="166">
        <v>4.1310000000000002</v>
      </c>
      <c r="C21" s="31">
        <v>4.7859999999999996</v>
      </c>
      <c r="D21" s="31">
        <v>5.1920000000000002</v>
      </c>
      <c r="E21" s="31">
        <v>5.4889999999999999</v>
      </c>
      <c r="F21" s="31">
        <v>5.7220000000000004</v>
      </c>
      <c r="G21" s="31">
        <v>5.915</v>
      </c>
      <c r="H21" s="31">
        <v>6.0789999999999997</v>
      </c>
      <c r="I21" s="31">
        <v>6.2220000000000004</v>
      </c>
      <c r="J21" s="31">
        <v>6.3490000000000002</v>
      </c>
      <c r="K21" s="31">
        <v>6.4619999999999997</v>
      </c>
      <c r="L21" s="31">
        <v>6.5640000000000001</v>
      </c>
      <c r="M21" s="31">
        <v>5.6580000000000004</v>
      </c>
      <c r="N21" s="31">
        <v>6.7439999999999998</v>
      </c>
      <c r="O21" s="31">
        <v>6.8230000000000004</v>
      </c>
      <c r="P21" s="31">
        <v>6.8979999999999997</v>
      </c>
      <c r="Q21" s="31">
        <v>7.032</v>
      </c>
      <c r="R21" s="31">
        <v>7.1520000000000001</v>
      </c>
      <c r="S21" s="31">
        <v>7.3559999999999999</v>
      </c>
      <c r="T21" s="31">
        <v>7.5270000000000001</v>
      </c>
      <c r="U21" s="31">
        <v>7.673</v>
      </c>
      <c r="V21" s="31">
        <v>7.8019999999999996</v>
      </c>
      <c r="W21" s="167">
        <v>7.9160000000000004</v>
      </c>
    </row>
    <row r="22" spans="1:23" x14ac:dyDescent="0.25">
      <c r="A22">
        <v>17</v>
      </c>
      <c r="B22" s="166">
        <v>4.0990000000000002</v>
      </c>
      <c r="C22" s="31">
        <v>4.742</v>
      </c>
      <c r="D22" s="31">
        <v>5.14</v>
      </c>
      <c r="E22" s="31">
        <v>5.43</v>
      </c>
      <c r="F22" s="31">
        <v>5.6589999999999998</v>
      </c>
      <c r="G22" s="31">
        <v>5.8470000000000004</v>
      </c>
      <c r="H22" s="31">
        <v>6.0069999999999997</v>
      </c>
      <c r="I22" s="31">
        <v>6.1470000000000002</v>
      </c>
      <c r="J22" s="31">
        <v>6.27</v>
      </c>
      <c r="K22" s="31">
        <v>6.3810000000000002</v>
      </c>
      <c r="L22" s="31">
        <v>6.48</v>
      </c>
      <c r="M22" s="31">
        <v>5.5720000000000001</v>
      </c>
      <c r="N22" s="31">
        <v>6.6559999999999997</v>
      </c>
      <c r="O22" s="31">
        <v>6.734</v>
      </c>
      <c r="P22" s="31">
        <v>6.806</v>
      </c>
      <c r="Q22" s="31">
        <v>6.9370000000000003</v>
      </c>
      <c r="R22" s="31">
        <v>7.0529999999999999</v>
      </c>
      <c r="S22" s="31">
        <v>7.2530000000000001</v>
      </c>
      <c r="T22" s="31">
        <v>7.42</v>
      </c>
      <c r="U22" s="31">
        <v>7.5629999999999997</v>
      </c>
      <c r="V22" s="31">
        <v>7.6870000000000003</v>
      </c>
      <c r="W22" s="167">
        <v>7.7990000000000004</v>
      </c>
    </row>
    <row r="23" spans="1:23" x14ac:dyDescent="0.25">
      <c r="A23">
        <v>18</v>
      </c>
      <c r="B23" s="166">
        <v>4.0709999999999997</v>
      </c>
      <c r="C23" s="31">
        <v>4.7030000000000003</v>
      </c>
      <c r="D23" s="31">
        <v>5.0940000000000003</v>
      </c>
      <c r="E23" s="31">
        <v>5.3789999999999996</v>
      </c>
      <c r="F23" s="31">
        <v>5.6029999999999998</v>
      </c>
      <c r="G23" s="31">
        <v>5.7880000000000003</v>
      </c>
      <c r="H23" s="31">
        <v>5.944</v>
      </c>
      <c r="I23" s="31">
        <v>6.0810000000000004</v>
      </c>
      <c r="J23" s="31">
        <v>6.2009999999999996</v>
      </c>
      <c r="K23" s="31">
        <v>6.31</v>
      </c>
      <c r="L23" s="31">
        <v>6.407</v>
      </c>
      <c r="M23" s="31">
        <v>5.4969999999999999</v>
      </c>
      <c r="N23" s="31">
        <v>6.5789999999999997</v>
      </c>
      <c r="O23" s="31">
        <v>6.6550000000000002</v>
      </c>
      <c r="P23" s="31">
        <v>6.7249999999999996</v>
      </c>
      <c r="Q23" s="31">
        <v>6.8540000000000001</v>
      </c>
      <c r="R23" s="31">
        <v>6.968</v>
      </c>
      <c r="S23" s="31">
        <v>7.1630000000000003</v>
      </c>
      <c r="T23" s="31">
        <v>7.3250000000000002</v>
      </c>
      <c r="U23" s="31">
        <v>7.4649999999999999</v>
      </c>
      <c r="V23" s="31">
        <v>7.5869999999999997</v>
      </c>
      <c r="W23" s="167">
        <v>7.6959999999999997</v>
      </c>
    </row>
    <row r="24" spans="1:23" x14ac:dyDescent="0.25">
      <c r="A24">
        <v>19</v>
      </c>
      <c r="B24" s="166">
        <v>4.0460000000000003</v>
      </c>
      <c r="C24" s="31">
        <v>1.67</v>
      </c>
      <c r="D24" s="31">
        <v>5.0540000000000003</v>
      </c>
      <c r="E24" s="31">
        <v>5.3339999999999996</v>
      </c>
      <c r="F24" s="31">
        <v>5.5540000000000003</v>
      </c>
      <c r="G24" s="31">
        <v>5.7350000000000003</v>
      </c>
      <c r="H24" s="31">
        <v>5.8890000000000002</v>
      </c>
      <c r="I24" s="31">
        <v>6.0220000000000002</v>
      </c>
      <c r="J24" s="31">
        <v>6.141</v>
      </c>
      <c r="K24" s="31">
        <v>6.2469999999999999</v>
      </c>
      <c r="L24" s="31">
        <v>6.3419999999999996</v>
      </c>
      <c r="M24" s="31">
        <v>5.43</v>
      </c>
      <c r="N24" s="31">
        <v>6.51</v>
      </c>
      <c r="O24" s="31">
        <v>6.585</v>
      </c>
      <c r="P24" s="31">
        <v>6.6539999999999999</v>
      </c>
      <c r="Q24" s="31">
        <v>6.78</v>
      </c>
      <c r="R24" s="31">
        <v>6.891</v>
      </c>
      <c r="S24" s="31">
        <v>7.0819999999999999</v>
      </c>
      <c r="T24" s="31">
        <v>7.242</v>
      </c>
      <c r="U24" s="31">
        <v>7.3789999999999996</v>
      </c>
      <c r="V24" s="31">
        <v>7.4980000000000002</v>
      </c>
      <c r="W24" s="167">
        <v>7.6050000000000004</v>
      </c>
    </row>
    <row r="25" spans="1:23" x14ac:dyDescent="0.25">
      <c r="A25">
        <v>20</v>
      </c>
      <c r="B25" s="166">
        <v>4.024</v>
      </c>
      <c r="C25" s="31">
        <v>4.6390000000000002</v>
      </c>
      <c r="D25" s="31">
        <v>5.0179999999999998</v>
      </c>
      <c r="E25" s="31">
        <v>5.2939999999999996</v>
      </c>
      <c r="F25" s="31">
        <v>5.51</v>
      </c>
      <c r="G25" s="31">
        <v>5.6879999999999997</v>
      </c>
      <c r="H25" s="31">
        <v>5.8390000000000004</v>
      </c>
      <c r="I25" s="31">
        <v>5.97</v>
      </c>
      <c r="J25" s="31">
        <v>6.0869999999999997</v>
      </c>
      <c r="K25" s="31">
        <v>6.1909999999999998</v>
      </c>
      <c r="L25" s="31">
        <v>6.2850000000000001</v>
      </c>
      <c r="M25" s="31">
        <v>5.3710000000000004</v>
      </c>
      <c r="N25" s="31">
        <v>6.45</v>
      </c>
      <c r="O25" s="31">
        <v>6.5229999999999997</v>
      </c>
      <c r="P25" s="31">
        <v>6.5910000000000002</v>
      </c>
      <c r="Q25" s="31">
        <v>6.7140000000000004</v>
      </c>
      <c r="R25" s="31">
        <v>6.8230000000000004</v>
      </c>
      <c r="S25" s="31">
        <v>7.0110000000000001</v>
      </c>
      <c r="T25" s="31">
        <v>7.1680000000000001</v>
      </c>
      <c r="U25" s="31">
        <v>7.3019999999999996</v>
      </c>
      <c r="V25" s="31">
        <v>7.4189999999999996</v>
      </c>
      <c r="W25" s="167">
        <v>7.5229999999999997</v>
      </c>
    </row>
    <row r="26" spans="1:23" x14ac:dyDescent="0.25">
      <c r="A26">
        <v>24</v>
      </c>
      <c r="B26" s="166">
        <v>3.956</v>
      </c>
      <c r="C26" s="31">
        <v>4.5460000000000003</v>
      </c>
      <c r="D26" s="31">
        <v>4.907</v>
      </c>
      <c r="E26" s="31">
        <v>5.1680000000000001</v>
      </c>
      <c r="F26" s="31">
        <v>5.3739999999999997</v>
      </c>
      <c r="G26" s="31">
        <v>5.5419999999999998</v>
      </c>
      <c r="H26" s="31">
        <v>5.6849999999999996</v>
      </c>
      <c r="I26" s="31">
        <v>5.8090000000000002</v>
      </c>
      <c r="J26" s="31">
        <v>5.9189999999999996</v>
      </c>
      <c r="K26" s="31">
        <v>6.0170000000000003</v>
      </c>
      <c r="L26" s="31">
        <v>6.1059999999999999</v>
      </c>
      <c r="M26" s="31">
        <v>5.1859999999999999</v>
      </c>
      <c r="N26" s="31">
        <v>6.2610000000000001</v>
      </c>
      <c r="O26" s="31">
        <v>6.33</v>
      </c>
      <c r="P26" s="31">
        <v>6.3940000000000001</v>
      </c>
      <c r="Q26" s="31">
        <v>6.51</v>
      </c>
      <c r="R26" s="31">
        <v>6.6120000000000001</v>
      </c>
      <c r="S26" s="31">
        <v>6.7889999999999997</v>
      </c>
      <c r="T26" s="31">
        <v>6.9359999999999999</v>
      </c>
      <c r="U26" s="31">
        <v>7.0620000000000003</v>
      </c>
      <c r="V26" s="31">
        <v>7.173</v>
      </c>
      <c r="W26" s="167">
        <v>7.27</v>
      </c>
    </row>
    <row r="27" spans="1:23" x14ac:dyDescent="0.25">
      <c r="A27">
        <v>30</v>
      </c>
      <c r="B27" s="166">
        <v>3.8889999999999998</v>
      </c>
      <c r="C27" s="31">
        <v>4.4550000000000001</v>
      </c>
      <c r="D27" s="31">
        <v>4.7990000000000004</v>
      </c>
      <c r="E27" s="31">
        <v>5.048</v>
      </c>
      <c r="F27" s="31">
        <v>5.242</v>
      </c>
      <c r="G27" s="31">
        <v>5.4009999999999998</v>
      </c>
      <c r="H27" s="31">
        <v>5.5359999999999996</v>
      </c>
      <c r="I27" s="31">
        <v>5.6529999999999996</v>
      </c>
      <c r="J27" s="31">
        <v>5.7560000000000002</v>
      </c>
      <c r="K27" s="31">
        <v>5.8490000000000002</v>
      </c>
      <c r="L27" s="31">
        <v>5.9320000000000004</v>
      </c>
      <c r="M27" s="31">
        <v>5.008</v>
      </c>
      <c r="N27" s="31">
        <v>6.0780000000000003</v>
      </c>
      <c r="O27" s="31">
        <v>6.1429999999999998</v>
      </c>
      <c r="P27" s="31">
        <v>6.2030000000000003</v>
      </c>
      <c r="Q27" s="31">
        <v>6.3109999999999999</v>
      </c>
      <c r="R27" s="31">
        <v>6.407</v>
      </c>
      <c r="S27" s="31">
        <v>6.5720000000000001</v>
      </c>
      <c r="T27" s="31">
        <v>6.71</v>
      </c>
      <c r="U27" s="31">
        <v>6.8280000000000003</v>
      </c>
      <c r="V27" s="31">
        <v>6.9320000000000004</v>
      </c>
      <c r="W27" s="167">
        <v>7.0229999999999997</v>
      </c>
    </row>
    <row r="28" spans="1:23" x14ac:dyDescent="0.25">
      <c r="A28">
        <v>40</v>
      </c>
      <c r="B28" s="166">
        <v>3.8250000000000002</v>
      </c>
      <c r="C28" s="31">
        <v>4.367</v>
      </c>
      <c r="D28" s="31">
        <v>4.6959999999999997</v>
      </c>
      <c r="E28" s="31">
        <v>4.931</v>
      </c>
      <c r="F28" s="31">
        <v>5.1139999999999999</v>
      </c>
      <c r="G28" s="31">
        <v>5.2649999999999997</v>
      </c>
      <c r="H28" s="31">
        <v>5.3920000000000003</v>
      </c>
      <c r="I28" s="31">
        <v>5.5019999999999998</v>
      </c>
      <c r="J28" s="31">
        <v>5.5990000000000002</v>
      </c>
      <c r="K28" s="31">
        <v>5.6859999999999999</v>
      </c>
      <c r="L28" s="31">
        <v>5.7640000000000002</v>
      </c>
      <c r="M28" s="31">
        <v>5.835</v>
      </c>
      <c r="N28" s="31">
        <v>5.9</v>
      </c>
      <c r="O28" s="31">
        <v>5.9610000000000003</v>
      </c>
      <c r="P28" s="31">
        <v>6.0170000000000003</v>
      </c>
      <c r="Q28" s="31">
        <v>6.1189999999999998</v>
      </c>
      <c r="R28" s="31">
        <v>6.2089999999999996</v>
      </c>
      <c r="S28" s="31">
        <v>6.3620000000000001</v>
      </c>
      <c r="T28" s="31">
        <v>6.49</v>
      </c>
      <c r="U28" s="31">
        <v>6.6</v>
      </c>
      <c r="V28" s="31">
        <v>6.6970000000000001</v>
      </c>
      <c r="W28" s="167">
        <v>6.782</v>
      </c>
    </row>
    <row r="29" spans="1:23" x14ac:dyDescent="0.25">
      <c r="A29">
        <v>60</v>
      </c>
      <c r="B29" s="166">
        <v>3.762</v>
      </c>
      <c r="C29" s="31">
        <v>4.282</v>
      </c>
      <c r="D29" s="31">
        <v>4.5949999999999998</v>
      </c>
      <c r="E29" s="31">
        <v>4.8179999999999996</v>
      </c>
      <c r="F29" s="31">
        <v>4.9909999999999997</v>
      </c>
      <c r="G29" s="31">
        <v>5.133</v>
      </c>
      <c r="H29" s="31">
        <v>5.2530000000000001</v>
      </c>
      <c r="I29" s="31">
        <v>5.3559999999999999</v>
      </c>
      <c r="J29" s="31">
        <v>5.4470000000000001</v>
      </c>
      <c r="K29" s="31">
        <v>5.5279999999999996</v>
      </c>
      <c r="L29" s="31">
        <v>5.601</v>
      </c>
      <c r="M29" s="31">
        <v>5.6669999999999998</v>
      </c>
      <c r="N29" s="31">
        <v>5.7279999999999998</v>
      </c>
      <c r="O29" s="31">
        <v>5.7850000000000001</v>
      </c>
      <c r="P29" s="31">
        <v>5.8369999999999997</v>
      </c>
      <c r="Q29" s="31">
        <v>5.931</v>
      </c>
      <c r="R29" s="31">
        <v>6.0149999999999997</v>
      </c>
      <c r="S29" s="31">
        <v>6.1580000000000004</v>
      </c>
      <c r="T29" s="31">
        <v>6.2770000000000001</v>
      </c>
      <c r="U29" s="31">
        <v>6.3780000000000001</v>
      </c>
      <c r="V29" s="31">
        <v>6.4669999999999996</v>
      </c>
      <c r="W29" s="167">
        <v>6.5460000000000003</v>
      </c>
    </row>
    <row r="30" spans="1:23" x14ac:dyDescent="0.25">
      <c r="A30">
        <v>120</v>
      </c>
      <c r="B30" s="166">
        <v>3.702</v>
      </c>
      <c r="C30" s="31">
        <v>4.2</v>
      </c>
      <c r="D30" s="31">
        <v>4.4969999999999999</v>
      </c>
      <c r="E30" s="31">
        <v>4.7089999999999996</v>
      </c>
      <c r="F30" s="31">
        <v>4.8719999999999999</v>
      </c>
      <c r="G30" s="31">
        <v>5.0049999999999999</v>
      </c>
      <c r="H30" s="31">
        <v>5.1180000000000003</v>
      </c>
      <c r="I30" s="31">
        <v>5.2140000000000004</v>
      </c>
      <c r="J30" s="31">
        <v>5.2990000000000004</v>
      </c>
      <c r="K30" s="31">
        <v>5.375</v>
      </c>
      <c r="L30" s="31">
        <v>5.4429999999999996</v>
      </c>
      <c r="M30" s="31">
        <v>5.5049999999999999</v>
      </c>
      <c r="N30" s="31">
        <v>5.5620000000000003</v>
      </c>
      <c r="O30" s="31">
        <v>5.6139999999999999</v>
      </c>
      <c r="P30" s="31">
        <v>5.6619999999999999</v>
      </c>
      <c r="Q30" s="31">
        <v>5.75</v>
      </c>
      <c r="R30" s="31">
        <v>5.827</v>
      </c>
      <c r="S30" s="31">
        <v>5.9589999999999996</v>
      </c>
      <c r="T30" s="31">
        <v>6.069</v>
      </c>
      <c r="U30" s="31">
        <v>6.1619999999999999</v>
      </c>
      <c r="V30" s="31">
        <v>6.2439999999999998</v>
      </c>
      <c r="W30" s="167">
        <v>6.3159999999999998</v>
      </c>
    </row>
    <row r="31" spans="1:23" x14ac:dyDescent="0.25">
      <c r="A31" s="12" t="s">
        <v>115</v>
      </c>
      <c r="B31" s="168">
        <v>3.6429999999999998</v>
      </c>
      <c r="C31" s="218">
        <v>4.12</v>
      </c>
      <c r="D31" s="218">
        <v>4.4029999999999996</v>
      </c>
      <c r="E31" s="218">
        <v>4.6029999999999998</v>
      </c>
      <c r="F31" s="218">
        <v>4.7569999999999997</v>
      </c>
      <c r="G31" s="218">
        <v>4.8819999999999997</v>
      </c>
      <c r="H31" s="218">
        <v>4.9870000000000001</v>
      </c>
      <c r="I31" s="218">
        <v>5.0780000000000003</v>
      </c>
      <c r="J31" s="218">
        <v>5.157</v>
      </c>
      <c r="K31" s="218">
        <v>5.2270000000000003</v>
      </c>
      <c r="L31" s="218">
        <v>5.29</v>
      </c>
      <c r="M31" s="218">
        <v>5.3479999999999999</v>
      </c>
      <c r="N31" s="218">
        <v>5.4</v>
      </c>
      <c r="O31" s="218">
        <v>5.4480000000000004</v>
      </c>
      <c r="P31" s="218">
        <v>5.4930000000000003</v>
      </c>
      <c r="Q31" s="218">
        <v>5.5739999999999998</v>
      </c>
      <c r="R31" s="218">
        <v>5.6449999999999996</v>
      </c>
      <c r="S31" s="218">
        <v>5.766</v>
      </c>
      <c r="T31" s="218">
        <v>5.8659999999999997</v>
      </c>
      <c r="U31" s="218">
        <v>5.952</v>
      </c>
      <c r="V31" s="218">
        <v>6.0259999999999998</v>
      </c>
      <c r="W31" s="169">
        <v>6.0919999999999996</v>
      </c>
    </row>
    <row r="33" spans="1:23" x14ac:dyDescent="0.25">
      <c r="A33" t="s">
        <v>17</v>
      </c>
      <c r="B33">
        <v>2.5000000000000001E-2</v>
      </c>
    </row>
    <row r="34" spans="1:23" x14ac:dyDescent="0.25">
      <c r="B34" t="s">
        <v>55</v>
      </c>
    </row>
    <row r="35" spans="1:23" x14ac:dyDescent="0.25">
      <c r="A35" s="12" t="s">
        <v>37</v>
      </c>
      <c r="B35">
        <v>2</v>
      </c>
      <c r="C35">
        <f>B35+1</f>
        <v>3</v>
      </c>
      <c r="D35">
        <f t="shared" ref="D35:L35" si="1">C35+1</f>
        <v>4</v>
      </c>
      <c r="E35">
        <f t="shared" si="1"/>
        <v>5</v>
      </c>
      <c r="F35">
        <f t="shared" si="1"/>
        <v>6</v>
      </c>
      <c r="G35">
        <f t="shared" si="1"/>
        <v>7</v>
      </c>
      <c r="H35">
        <f t="shared" si="1"/>
        <v>8</v>
      </c>
      <c r="I35">
        <f t="shared" si="1"/>
        <v>9</v>
      </c>
      <c r="J35">
        <f t="shared" si="1"/>
        <v>10</v>
      </c>
      <c r="K35">
        <f t="shared" si="1"/>
        <v>11</v>
      </c>
      <c r="L35">
        <f t="shared" si="1"/>
        <v>12</v>
      </c>
      <c r="M35">
        <v>13</v>
      </c>
      <c r="N35">
        <f>M35+1</f>
        <v>14</v>
      </c>
      <c r="O35">
        <f>N35+1</f>
        <v>15</v>
      </c>
      <c r="P35">
        <f>O35+1</f>
        <v>16</v>
      </c>
      <c r="Q35">
        <f>P35+2</f>
        <v>18</v>
      </c>
      <c r="R35">
        <f>Q35+2</f>
        <v>20</v>
      </c>
      <c r="S35">
        <f>R35+4</f>
        <v>24</v>
      </c>
      <c r="T35">
        <f>S35+4</f>
        <v>28</v>
      </c>
      <c r="U35">
        <f>T35+4</f>
        <v>32</v>
      </c>
      <c r="V35">
        <f>U35+4</f>
        <v>36</v>
      </c>
      <c r="W35">
        <f>V35+4</f>
        <v>40</v>
      </c>
    </row>
    <row r="36" spans="1:23" x14ac:dyDescent="0.25">
      <c r="A36">
        <v>1</v>
      </c>
      <c r="B36" s="262">
        <v>35.99</v>
      </c>
      <c r="C36" s="261">
        <v>54</v>
      </c>
      <c r="D36" s="261">
        <v>65.69</v>
      </c>
      <c r="E36" s="261">
        <v>74.22</v>
      </c>
      <c r="F36" s="261">
        <v>80.87</v>
      </c>
      <c r="G36" s="261">
        <v>86.29</v>
      </c>
      <c r="H36" s="261">
        <v>90.85</v>
      </c>
      <c r="I36" s="261">
        <v>94.77</v>
      </c>
      <c r="J36" s="261">
        <v>98.2</v>
      </c>
      <c r="K36" s="212">
        <v>101.3</v>
      </c>
      <c r="L36" s="212">
        <v>104</v>
      </c>
      <c r="M36" s="212">
        <v>106.5</v>
      </c>
      <c r="N36" s="212">
        <v>108.8</v>
      </c>
      <c r="O36" s="212">
        <v>110.8</v>
      </c>
      <c r="P36" s="212">
        <v>112.7</v>
      </c>
      <c r="Q36" s="212">
        <v>116.2</v>
      </c>
      <c r="R36" s="212">
        <v>119.2</v>
      </c>
      <c r="S36" s="212">
        <v>124.3</v>
      </c>
      <c r="T36" s="212">
        <v>128.6</v>
      </c>
      <c r="U36" s="212">
        <v>132.1</v>
      </c>
      <c r="V36" s="212">
        <v>135.19999999999999</v>
      </c>
      <c r="W36" s="213">
        <v>137.9</v>
      </c>
    </row>
    <row r="37" spans="1:23" x14ac:dyDescent="0.25">
      <c r="A37">
        <v>2</v>
      </c>
      <c r="B37" s="166">
        <v>8.7759999999999998</v>
      </c>
      <c r="C37" s="29">
        <v>11.94</v>
      </c>
      <c r="D37" s="29">
        <v>14.01</v>
      </c>
      <c r="E37" s="29">
        <v>15.54</v>
      </c>
      <c r="F37" s="29">
        <v>16.75</v>
      </c>
      <c r="G37" s="29">
        <v>17.739999999999998</v>
      </c>
      <c r="H37" s="29">
        <v>18.579999999999998</v>
      </c>
      <c r="I37" s="29">
        <v>19.309999999999999</v>
      </c>
      <c r="J37" s="29">
        <v>19.95</v>
      </c>
      <c r="K37" s="29">
        <v>20.52</v>
      </c>
      <c r="L37" s="29">
        <v>21.03</v>
      </c>
      <c r="M37" s="29">
        <v>21.49</v>
      </c>
      <c r="N37" s="29">
        <v>21.91</v>
      </c>
      <c r="O37" s="29">
        <v>22.3</v>
      </c>
      <c r="P37" s="29">
        <v>22.67</v>
      </c>
      <c r="Q37" s="29">
        <v>23.32</v>
      </c>
      <c r="R37" s="29">
        <v>23.89</v>
      </c>
      <c r="S37" s="29">
        <v>24.87</v>
      </c>
      <c r="T37" s="29">
        <v>25.67</v>
      </c>
      <c r="U37" s="29">
        <v>26.35</v>
      </c>
      <c r="V37" s="29">
        <v>26.95</v>
      </c>
      <c r="W37" s="145">
        <v>27.47</v>
      </c>
    </row>
    <row r="38" spans="1:23" x14ac:dyDescent="0.25">
      <c r="A38">
        <v>3</v>
      </c>
      <c r="B38" s="166">
        <v>5.907</v>
      </c>
      <c r="C38" s="31">
        <v>7.6609999999999996</v>
      </c>
      <c r="D38" s="31">
        <v>8.8079999999999998</v>
      </c>
      <c r="E38" s="31">
        <v>9.66</v>
      </c>
      <c r="F38" s="29">
        <v>10.34</v>
      </c>
      <c r="G38" s="29">
        <v>10.89</v>
      </c>
      <c r="H38" s="29">
        <v>11.37</v>
      </c>
      <c r="I38" s="29">
        <v>11.78</v>
      </c>
      <c r="J38" s="29">
        <v>12.14</v>
      </c>
      <c r="K38" s="29">
        <v>12.46</v>
      </c>
      <c r="L38" s="29">
        <v>12.75</v>
      </c>
      <c r="M38" s="29">
        <v>13.01</v>
      </c>
      <c r="N38" s="29">
        <v>13.26</v>
      </c>
      <c r="O38" s="29">
        <v>13.48</v>
      </c>
      <c r="P38" s="29">
        <v>13.69</v>
      </c>
      <c r="Q38" s="29">
        <v>14.06</v>
      </c>
      <c r="R38" s="29">
        <v>14.39</v>
      </c>
      <c r="S38" s="29">
        <v>14.95</v>
      </c>
      <c r="T38" s="29">
        <v>15.41</v>
      </c>
      <c r="U38" s="29">
        <v>15.81</v>
      </c>
      <c r="V38" s="29">
        <v>16.149999999999999</v>
      </c>
      <c r="W38" s="145">
        <v>16.46</v>
      </c>
    </row>
    <row r="39" spans="1:23" x14ac:dyDescent="0.25">
      <c r="A39">
        <v>4</v>
      </c>
      <c r="B39" s="166">
        <v>4.9429999999999996</v>
      </c>
      <c r="C39" s="31">
        <v>6.2439999999999998</v>
      </c>
      <c r="D39" s="31">
        <v>7.0880000000000001</v>
      </c>
      <c r="E39" s="31">
        <v>7.7160000000000002</v>
      </c>
      <c r="F39" s="31">
        <v>8.2129999999999992</v>
      </c>
      <c r="G39" s="31">
        <v>8.625</v>
      </c>
      <c r="H39" s="31">
        <v>8.9760000000000009</v>
      </c>
      <c r="I39" s="31">
        <v>9.2789999999999999</v>
      </c>
      <c r="J39" s="31">
        <v>9.548</v>
      </c>
      <c r="K39" s="31">
        <v>9.7880000000000003</v>
      </c>
      <c r="L39" s="29">
        <v>10.01</v>
      </c>
      <c r="M39" s="29">
        <v>10.199999999999999</v>
      </c>
      <c r="N39" s="29">
        <v>10.39</v>
      </c>
      <c r="O39" s="29">
        <v>10.55</v>
      </c>
      <c r="P39" s="29">
        <v>10.71</v>
      </c>
      <c r="Q39" s="29">
        <v>10.99</v>
      </c>
      <c r="R39" s="29">
        <v>11.23</v>
      </c>
      <c r="S39" s="29">
        <v>11.66</v>
      </c>
      <c r="T39" s="29">
        <v>12</v>
      </c>
      <c r="U39" s="29">
        <v>12.3</v>
      </c>
      <c r="V39" s="29">
        <v>12.56</v>
      </c>
      <c r="W39" s="145">
        <v>12.79</v>
      </c>
    </row>
    <row r="40" spans="1:23" x14ac:dyDescent="0.25">
      <c r="A40">
        <v>5</v>
      </c>
      <c r="B40" s="166">
        <v>4.4740000000000002</v>
      </c>
      <c r="C40" s="31">
        <v>5.5579999999999998</v>
      </c>
      <c r="D40" s="31">
        <v>6.2569999999999997</v>
      </c>
      <c r="E40" s="31">
        <v>6.7750000000000004</v>
      </c>
      <c r="F40" s="31">
        <v>7.1859999999999999</v>
      </c>
      <c r="G40" s="31">
        <v>7.5270000000000001</v>
      </c>
      <c r="H40" s="31">
        <v>7.8159999999999998</v>
      </c>
      <c r="I40" s="31">
        <v>8.0679999999999996</v>
      </c>
      <c r="J40" s="31">
        <v>8.2910000000000004</v>
      </c>
      <c r="K40" s="31">
        <v>8.49</v>
      </c>
      <c r="L40" s="31">
        <v>8.67</v>
      </c>
      <c r="M40" s="31">
        <v>8.8339999999999996</v>
      </c>
      <c r="N40" s="31">
        <v>8.984</v>
      </c>
      <c r="O40" s="31">
        <v>9.1240000000000006</v>
      </c>
      <c r="P40" s="31">
        <v>9.2530000000000001</v>
      </c>
      <c r="Q40" s="31">
        <v>9.4860000000000007</v>
      </c>
      <c r="R40" s="31">
        <v>9.6929999999999996</v>
      </c>
      <c r="S40" s="29">
        <v>10.039999999999999</v>
      </c>
      <c r="T40" s="29">
        <v>10.34</v>
      </c>
      <c r="U40" s="29">
        <v>10.59</v>
      </c>
      <c r="V40" s="29">
        <v>10.8</v>
      </c>
      <c r="W40" s="145">
        <v>11</v>
      </c>
    </row>
    <row r="41" spans="1:23" x14ac:dyDescent="0.25">
      <c r="A41">
        <v>6</v>
      </c>
      <c r="B41" s="166">
        <v>4.1989999999999998</v>
      </c>
      <c r="C41" s="31">
        <v>5.1580000000000004</v>
      </c>
      <c r="D41" s="31">
        <v>5.7720000000000002</v>
      </c>
      <c r="E41" s="31">
        <v>6.226</v>
      </c>
      <c r="F41" s="31">
        <v>6.5860000000000003</v>
      </c>
      <c r="G41" s="31">
        <v>6.8840000000000003</v>
      </c>
      <c r="H41" s="31">
        <v>7.1379999999999999</v>
      </c>
      <c r="I41" s="31">
        <v>7.359</v>
      </c>
      <c r="J41" s="31">
        <v>7.5540000000000003</v>
      </c>
      <c r="K41" s="31">
        <v>7.7290000000000001</v>
      </c>
      <c r="L41" s="31">
        <v>7.8869999999999996</v>
      </c>
      <c r="M41" s="31">
        <v>8.0310000000000006</v>
      </c>
      <c r="N41" s="31">
        <v>8.1630000000000003</v>
      </c>
      <c r="O41" s="31">
        <v>8.2859999999999996</v>
      </c>
      <c r="P41" s="31">
        <v>8.3989999999999991</v>
      </c>
      <c r="Q41" s="31">
        <v>8.6050000000000004</v>
      </c>
      <c r="R41" s="31">
        <v>8.7870000000000008</v>
      </c>
      <c r="S41" s="31">
        <v>9.0969999999999995</v>
      </c>
      <c r="T41" s="31">
        <v>9.3550000000000004</v>
      </c>
      <c r="U41" s="31">
        <v>9.5749999999999993</v>
      </c>
      <c r="V41" s="31">
        <v>9.7669999999999995</v>
      </c>
      <c r="W41" s="167">
        <v>9.9380000000000006</v>
      </c>
    </row>
    <row r="42" spans="1:23" x14ac:dyDescent="0.25">
      <c r="A42">
        <v>7</v>
      </c>
      <c r="B42" s="166">
        <v>4.0179999999999998</v>
      </c>
      <c r="C42" s="31">
        <v>4.8970000000000002</v>
      </c>
      <c r="D42" s="31">
        <v>5.4550000000000001</v>
      </c>
      <c r="E42" s="31">
        <v>5.8680000000000003</v>
      </c>
      <c r="F42" s="31">
        <v>6.194</v>
      </c>
      <c r="G42" s="31">
        <v>6.4640000000000004</v>
      </c>
      <c r="H42" s="31">
        <v>6.6950000000000003</v>
      </c>
      <c r="I42" s="31">
        <v>6.8949999999999996</v>
      </c>
      <c r="J42" s="31">
        <v>7.0720000000000001</v>
      </c>
      <c r="K42" s="31">
        <v>7.23</v>
      </c>
      <c r="L42" s="31">
        <v>7.3730000000000002</v>
      </c>
      <c r="M42" s="31">
        <v>7.5039999999999996</v>
      </c>
      <c r="N42" s="31">
        <v>7.6239999999999997</v>
      </c>
      <c r="O42" s="31">
        <v>7.7350000000000003</v>
      </c>
      <c r="P42" s="31">
        <v>7.8390000000000004</v>
      </c>
      <c r="Q42" s="31">
        <v>8.0250000000000004</v>
      </c>
      <c r="R42" s="31">
        <v>8.1910000000000007</v>
      </c>
      <c r="S42" s="31">
        <v>8.4730000000000008</v>
      </c>
      <c r="T42" s="31">
        <v>8.7080000000000002</v>
      </c>
      <c r="U42" s="31">
        <v>8.9090000000000007</v>
      </c>
      <c r="V42" s="31">
        <v>9.0839999999999996</v>
      </c>
      <c r="W42" s="167">
        <v>9.2390000000000008</v>
      </c>
    </row>
    <row r="43" spans="1:23" x14ac:dyDescent="0.25">
      <c r="A43">
        <v>8</v>
      </c>
      <c r="B43" s="166">
        <v>3.8919999999999999</v>
      </c>
      <c r="C43" s="31">
        <v>4.7140000000000004</v>
      </c>
      <c r="D43" s="31">
        <v>5.2329999999999997</v>
      </c>
      <c r="E43" s="31">
        <v>5.6159999999999997</v>
      </c>
      <c r="F43" s="31">
        <v>5.9189999999999996</v>
      </c>
      <c r="G43" s="31">
        <v>6.1689999999999996</v>
      </c>
      <c r="H43" s="31">
        <v>6.3819999999999997</v>
      </c>
      <c r="I43" s="31">
        <v>6.5679999999999996</v>
      </c>
      <c r="J43" s="31">
        <v>6.7320000000000002</v>
      </c>
      <c r="K43" s="31">
        <v>6.8789999999999996</v>
      </c>
      <c r="L43" s="31">
        <v>7.0110000000000001</v>
      </c>
      <c r="M43" s="31">
        <v>7.1319999999999997</v>
      </c>
      <c r="N43" s="31">
        <v>7.2439999999999998</v>
      </c>
      <c r="O43" s="31">
        <v>7.3470000000000004</v>
      </c>
      <c r="P43" s="31">
        <v>7.4429999999999996</v>
      </c>
      <c r="Q43" s="31">
        <v>7.6159999999999997</v>
      </c>
      <c r="R43" s="31">
        <v>7.7690000000000001</v>
      </c>
      <c r="S43" s="31">
        <v>8.0310000000000006</v>
      </c>
      <c r="T43" s="31">
        <v>8.25</v>
      </c>
      <c r="U43" s="31">
        <v>8.4359999999999999</v>
      </c>
      <c r="V43" s="31">
        <v>8.5990000000000002</v>
      </c>
      <c r="W43" s="167">
        <v>8.7430000000000003</v>
      </c>
    </row>
    <row r="44" spans="1:23" x14ac:dyDescent="0.25">
      <c r="A44">
        <v>9</v>
      </c>
      <c r="B44" s="166">
        <v>3.7970000000000002</v>
      </c>
      <c r="C44" s="31">
        <v>4.5780000000000003</v>
      </c>
      <c r="D44" s="31">
        <v>5.069</v>
      </c>
      <c r="E44" s="31">
        <v>5.43</v>
      </c>
      <c r="F44" s="31">
        <v>5.7149999999999999</v>
      </c>
      <c r="G44" s="31">
        <v>5.95</v>
      </c>
      <c r="H44" s="31">
        <v>6.1509999999999998</v>
      </c>
      <c r="I44" s="31">
        <v>6.3250000000000002</v>
      </c>
      <c r="J44" s="31">
        <v>6.4790000000000001</v>
      </c>
      <c r="K44" s="31">
        <v>6.617</v>
      </c>
      <c r="L44" s="31">
        <v>6.742</v>
      </c>
      <c r="M44" s="31">
        <v>6.8559999999999999</v>
      </c>
      <c r="N44" s="31">
        <v>6.9610000000000003</v>
      </c>
      <c r="O44" s="31">
        <v>7.0579999999999998</v>
      </c>
      <c r="P44" s="31">
        <v>7.1479999999999997</v>
      </c>
      <c r="Q44" s="31">
        <v>7.3109999999999999</v>
      </c>
      <c r="R44" s="31">
        <v>7.4550000000000001</v>
      </c>
      <c r="S44" s="31">
        <v>7.702</v>
      </c>
      <c r="T44" s="31">
        <v>7.9080000000000004</v>
      </c>
      <c r="U44" s="31">
        <v>8.0839999999999996</v>
      </c>
      <c r="V44" s="31">
        <v>8.2370000000000001</v>
      </c>
      <c r="W44" s="167">
        <v>8.3729999999999993</v>
      </c>
    </row>
    <row r="45" spans="1:23" x14ac:dyDescent="0.25">
      <c r="A45">
        <v>10</v>
      </c>
      <c r="B45" s="166">
        <v>3.7250000000000001</v>
      </c>
      <c r="C45" s="31">
        <v>4.4740000000000002</v>
      </c>
      <c r="D45" s="31">
        <v>4.9429999999999996</v>
      </c>
      <c r="E45" s="31">
        <v>5.2869999999999999</v>
      </c>
      <c r="F45" s="31">
        <v>5.5579999999999998</v>
      </c>
      <c r="G45" s="31">
        <v>5.782</v>
      </c>
      <c r="H45" s="31">
        <v>5.9720000000000004</v>
      </c>
      <c r="I45" s="31">
        <v>6.1379999999999999</v>
      </c>
      <c r="J45" s="31">
        <v>6.2850000000000001</v>
      </c>
      <c r="K45" s="31">
        <v>6.4160000000000004</v>
      </c>
      <c r="L45" s="31">
        <v>6.5339999999999998</v>
      </c>
      <c r="M45" s="31">
        <v>6.6429999999999998</v>
      </c>
      <c r="N45" s="31">
        <v>6.742</v>
      </c>
      <c r="O45" s="31">
        <v>6.8339999999999996</v>
      </c>
      <c r="P45" s="31">
        <v>6.92</v>
      </c>
      <c r="Q45" s="31">
        <v>7.0750000000000002</v>
      </c>
      <c r="R45" s="31">
        <v>7.2119999999999997</v>
      </c>
      <c r="S45" s="31">
        <v>7.4470000000000001</v>
      </c>
      <c r="T45" s="31">
        <v>7.6429999999999998</v>
      </c>
      <c r="U45" s="31">
        <v>7.81</v>
      </c>
      <c r="V45" s="31">
        <v>7.9560000000000004</v>
      </c>
      <c r="W45" s="167">
        <v>8.0860000000000003</v>
      </c>
    </row>
    <row r="46" spans="1:23" x14ac:dyDescent="0.25">
      <c r="A46">
        <v>11</v>
      </c>
      <c r="B46" s="166">
        <v>3.6669999999999998</v>
      </c>
      <c r="C46" s="31">
        <v>4.391</v>
      </c>
      <c r="D46" s="31">
        <v>4.843</v>
      </c>
      <c r="E46" s="31">
        <v>5.173</v>
      </c>
      <c r="F46" s="31">
        <v>5.4329999999999998</v>
      </c>
      <c r="G46" s="31">
        <v>5.6479999999999997</v>
      </c>
      <c r="H46" s="31">
        <v>5.8310000000000004</v>
      </c>
      <c r="I46" s="31">
        <v>5.9889999999999999</v>
      </c>
      <c r="J46" s="31">
        <v>6.13</v>
      </c>
      <c r="K46" s="31">
        <v>6.2560000000000002</v>
      </c>
      <c r="L46" s="31">
        <v>6.3689999999999998</v>
      </c>
      <c r="M46" s="31">
        <v>6.4729999999999999</v>
      </c>
      <c r="N46" s="31">
        <v>6.5679999999999996</v>
      </c>
      <c r="O46" s="31">
        <v>6.657</v>
      </c>
      <c r="P46" s="31">
        <v>6.7389999999999999</v>
      </c>
      <c r="Q46" s="31">
        <v>6.8869999999999996</v>
      </c>
      <c r="R46" s="31">
        <v>7.0190000000000001</v>
      </c>
      <c r="S46" s="31">
        <v>7.2439999999999998</v>
      </c>
      <c r="T46" s="31">
        <v>7.431</v>
      </c>
      <c r="U46" s="31">
        <v>7.5919999999999996</v>
      </c>
      <c r="V46" s="31">
        <v>7.7320000000000002</v>
      </c>
      <c r="W46" s="167">
        <v>7.8559999999999999</v>
      </c>
    </row>
    <row r="47" spans="1:23" x14ac:dyDescent="0.25">
      <c r="A47">
        <v>12</v>
      </c>
      <c r="B47" s="166">
        <v>3.62</v>
      </c>
      <c r="C47" s="31">
        <v>4.3250000000000002</v>
      </c>
      <c r="D47" s="31">
        <v>4.7619999999999996</v>
      </c>
      <c r="E47" s="31">
        <v>5.0810000000000004</v>
      </c>
      <c r="F47" s="31">
        <v>5.3319999999999999</v>
      </c>
      <c r="G47" s="31">
        <v>5.54</v>
      </c>
      <c r="H47" s="31">
        <v>5.7160000000000002</v>
      </c>
      <c r="I47" s="31">
        <v>5.8689999999999998</v>
      </c>
      <c r="J47" s="31">
        <v>6.0039999999999996</v>
      </c>
      <c r="K47" s="31">
        <v>6.125</v>
      </c>
      <c r="L47" s="31">
        <v>6.2350000000000003</v>
      </c>
      <c r="M47" s="31">
        <v>6.335</v>
      </c>
      <c r="N47" s="31">
        <v>6.4269999999999996</v>
      </c>
      <c r="O47" s="31">
        <v>6.5119999999999996</v>
      </c>
      <c r="P47" s="31">
        <v>6.5910000000000002</v>
      </c>
      <c r="Q47" s="31">
        <v>6.734</v>
      </c>
      <c r="R47" s="31">
        <v>6.8609999999999998</v>
      </c>
      <c r="S47" s="31">
        <v>7.0780000000000003</v>
      </c>
      <c r="T47" s="31">
        <v>7.258</v>
      </c>
      <c r="U47" s="31">
        <v>7.4130000000000003</v>
      </c>
      <c r="V47" s="31">
        <v>7.548</v>
      </c>
      <c r="W47" s="167">
        <v>7.6680000000000001</v>
      </c>
    </row>
    <row r="48" spans="1:23" x14ac:dyDescent="0.25">
      <c r="A48">
        <v>13</v>
      </c>
      <c r="B48" s="166">
        <v>3.5819999999999999</v>
      </c>
      <c r="C48" s="31">
        <v>4.2690000000000001</v>
      </c>
      <c r="D48" s="31">
        <v>4.694</v>
      </c>
      <c r="E48" s="31">
        <v>5.0039999999999996</v>
      </c>
      <c r="F48" s="31">
        <v>5.2480000000000002</v>
      </c>
      <c r="G48" s="31">
        <v>5.4489999999999998</v>
      </c>
      <c r="H48" s="31">
        <v>5.62</v>
      </c>
      <c r="I48" s="31">
        <v>5.7690000000000001</v>
      </c>
      <c r="J48" s="31">
        <v>5.9</v>
      </c>
      <c r="K48" s="31">
        <v>6.0170000000000003</v>
      </c>
      <c r="L48" s="31">
        <v>6.1230000000000002</v>
      </c>
      <c r="M48" s="31">
        <v>6.22</v>
      </c>
      <c r="N48" s="31">
        <v>6.3090000000000002</v>
      </c>
      <c r="O48" s="31">
        <v>6.3920000000000003</v>
      </c>
      <c r="P48" s="31">
        <v>6.468</v>
      </c>
      <c r="Q48" s="31">
        <v>6.6070000000000002</v>
      </c>
      <c r="R48" s="31">
        <v>6.73</v>
      </c>
      <c r="S48" s="31">
        <v>6.9390000000000001</v>
      </c>
      <c r="T48" s="31">
        <v>7.1150000000000002</v>
      </c>
      <c r="U48" s="31">
        <v>7.2649999999999997</v>
      </c>
      <c r="V48" s="31">
        <v>7.3959999999999999</v>
      </c>
      <c r="W48" s="167">
        <v>7.5119999999999996</v>
      </c>
    </row>
    <row r="49" spans="1:23" x14ac:dyDescent="0.25">
      <c r="A49">
        <v>14</v>
      </c>
      <c r="B49" s="166">
        <v>3.55</v>
      </c>
      <c r="C49" s="31">
        <v>4.2220000000000004</v>
      </c>
      <c r="D49" s="31">
        <v>4.6379999999999999</v>
      </c>
      <c r="E49" s="31">
        <v>4.9400000000000004</v>
      </c>
      <c r="F49" s="31">
        <v>5.1779999999999999</v>
      </c>
      <c r="G49" s="31">
        <v>5.3739999999999997</v>
      </c>
      <c r="H49" s="31">
        <v>5.54</v>
      </c>
      <c r="I49" s="31">
        <v>5.6840000000000002</v>
      </c>
      <c r="J49" s="31">
        <v>5.8109999999999999</v>
      </c>
      <c r="K49" s="31">
        <v>5.9260000000000002</v>
      </c>
      <c r="L49" s="31">
        <v>6.0289999999999999</v>
      </c>
      <c r="M49" s="31">
        <v>6.1230000000000002</v>
      </c>
      <c r="N49" s="31">
        <v>6.21</v>
      </c>
      <c r="O49" s="31">
        <v>6.29</v>
      </c>
      <c r="P49" s="31">
        <v>6.3639999999999999</v>
      </c>
      <c r="Q49" s="31">
        <v>6.4989999999999997</v>
      </c>
      <c r="R49" s="31">
        <v>6.6189999999999998</v>
      </c>
      <c r="S49" s="31">
        <v>6.8230000000000004</v>
      </c>
      <c r="T49" s="31">
        <v>6.9930000000000003</v>
      </c>
      <c r="U49" s="31">
        <v>7.1390000000000002</v>
      </c>
      <c r="V49" s="31">
        <v>7.266</v>
      </c>
      <c r="W49" s="167">
        <v>7.3789999999999996</v>
      </c>
    </row>
    <row r="50" spans="1:23" x14ac:dyDescent="0.25">
      <c r="A50">
        <v>15</v>
      </c>
      <c r="B50" s="166">
        <v>3.5219999999999998</v>
      </c>
      <c r="C50" s="31">
        <v>4.1820000000000004</v>
      </c>
      <c r="D50" s="31">
        <v>4.5890000000000004</v>
      </c>
      <c r="E50" s="31">
        <v>4.8849999999999998</v>
      </c>
      <c r="F50" s="31">
        <v>5.1180000000000003</v>
      </c>
      <c r="G50" s="31">
        <v>5.3090000000000002</v>
      </c>
      <c r="H50" s="31">
        <v>5.4710000000000001</v>
      </c>
      <c r="I50" s="31">
        <v>5.6120000000000001</v>
      </c>
      <c r="J50" s="31">
        <v>5.7370000000000001</v>
      </c>
      <c r="K50" s="31">
        <v>5.8479999999999999</v>
      </c>
      <c r="L50" s="31">
        <v>5.9489999999999998</v>
      </c>
      <c r="M50" s="31">
        <v>6.0410000000000004</v>
      </c>
      <c r="N50" s="31">
        <v>6.125</v>
      </c>
      <c r="O50" s="31">
        <v>6.2030000000000003</v>
      </c>
      <c r="P50" s="31">
        <v>6.2759999999999998</v>
      </c>
      <c r="Q50" s="31">
        <v>6.407</v>
      </c>
      <c r="R50" s="31">
        <v>6.5229999999999997</v>
      </c>
      <c r="S50" s="31">
        <v>6.7229999999999999</v>
      </c>
      <c r="T50" s="31">
        <v>6.8890000000000002</v>
      </c>
      <c r="U50" s="31">
        <v>7.0309999999999997</v>
      </c>
      <c r="V50" s="31">
        <v>7.1550000000000002</v>
      </c>
      <c r="W50" s="167">
        <v>7.2649999999999997</v>
      </c>
    </row>
    <row r="51" spans="1:23" x14ac:dyDescent="0.25">
      <c r="A51">
        <v>16</v>
      </c>
      <c r="B51" s="166">
        <v>3.4980000000000002</v>
      </c>
      <c r="C51" s="31">
        <v>4.1479999999999997</v>
      </c>
      <c r="D51" s="31">
        <v>4.548</v>
      </c>
      <c r="E51" s="31">
        <v>4.8380000000000001</v>
      </c>
      <c r="F51" s="31">
        <v>5.0659999999999998</v>
      </c>
      <c r="G51" s="31">
        <v>5.2530000000000001</v>
      </c>
      <c r="H51" s="31">
        <v>5.4119999999999999</v>
      </c>
      <c r="I51" s="31">
        <v>5.55</v>
      </c>
      <c r="J51" s="31">
        <v>5.6719999999999997</v>
      </c>
      <c r="K51" s="31">
        <v>5.7809999999999997</v>
      </c>
      <c r="L51" s="31">
        <v>5.8789999999999996</v>
      </c>
      <c r="M51" s="31">
        <v>5.9690000000000003</v>
      </c>
      <c r="N51" s="31">
        <v>6.0519999999999996</v>
      </c>
      <c r="O51" s="31">
        <v>6.1280000000000001</v>
      </c>
      <c r="P51" s="31">
        <v>6.1989999999999998</v>
      </c>
      <c r="Q51" s="31">
        <v>6.3280000000000003</v>
      </c>
      <c r="R51" s="31">
        <v>6.4409999999999998</v>
      </c>
      <c r="S51" s="31">
        <v>6.6360000000000001</v>
      </c>
      <c r="T51" s="31">
        <v>6.7990000000000004</v>
      </c>
      <c r="U51" s="31">
        <v>6.9379999999999997</v>
      </c>
      <c r="V51" s="31">
        <v>7.0590000000000002</v>
      </c>
      <c r="W51" s="167">
        <v>7.1669999999999998</v>
      </c>
    </row>
    <row r="52" spans="1:23" x14ac:dyDescent="0.25">
      <c r="A52">
        <v>17</v>
      </c>
      <c r="B52" s="166">
        <v>3.4769999999999999</v>
      </c>
      <c r="C52" s="31">
        <v>4.1180000000000003</v>
      </c>
      <c r="D52" s="31">
        <v>4.5119999999999996</v>
      </c>
      <c r="E52" s="31">
        <v>4.7969999999999997</v>
      </c>
      <c r="F52" s="31">
        <v>5.0199999999999996</v>
      </c>
      <c r="G52" s="31">
        <v>5.2039999999999997</v>
      </c>
      <c r="H52" s="31">
        <v>5.3609999999999998</v>
      </c>
      <c r="I52" s="31">
        <v>5.4960000000000004</v>
      </c>
      <c r="J52" s="31">
        <v>5.6150000000000002</v>
      </c>
      <c r="K52" s="31">
        <v>5.7220000000000004</v>
      </c>
      <c r="L52" s="31">
        <v>5.8179999999999996</v>
      </c>
      <c r="M52" s="31">
        <v>5.907</v>
      </c>
      <c r="N52" s="31">
        <v>5.9870000000000001</v>
      </c>
      <c r="O52" s="31">
        <v>6.0620000000000003</v>
      </c>
      <c r="P52" s="31">
        <v>6.1319999999999997</v>
      </c>
      <c r="Q52" s="31">
        <v>6.258</v>
      </c>
      <c r="R52" s="31">
        <v>6.37</v>
      </c>
      <c r="S52" s="31">
        <v>6.56</v>
      </c>
      <c r="T52" s="31">
        <v>6.72</v>
      </c>
      <c r="U52" s="31">
        <v>6.8559999999999999</v>
      </c>
      <c r="V52" s="31">
        <v>6.9749999999999996</v>
      </c>
      <c r="W52" s="167">
        <v>7.0810000000000004</v>
      </c>
    </row>
    <row r="53" spans="1:23" x14ac:dyDescent="0.25">
      <c r="A53">
        <v>18</v>
      </c>
      <c r="B53" s="166">
        <v>3.4580000000000002</v>
      </c>
      <c r="C53" s="31">
        <v>4.0919999999999996</v>
      </c>
      <c r="D53" s="31">
        <v>4.4800000000000004</v>
      </c>
      <c r="E53" s="31">
        <v>4.7610000000000001</v>
      </c>
      <c r="F53" s="31">
        <v>4.9809999999999999</v>
      </c>
      <c r="G53" s="31">
        <v>5.1619999999999999</v>
      </c>
      <c r="H53" s="31">
        <v>5.3150000000000004</v>
      </c>
      <c r="I53" s="31">
        <v>5.4480000000000004</v>
      </c>
      <c r="J53" s="31">
        <v>5.5650000000000004</v>
      </c>
      <c r="K53" s="31">
        <v>5.67</v>
      </c>
      <c r="L53" s="31">
        <v>5.7649999999999997</v>
      </c>
      <c r="M53" s="31">
        <v>5.8520000000000003</v>
      </c>
      <c r="N53" s="31">
        <v>5.931</v>
      </c>
      <c r="O53" s="31">
        <v>6.0039999999999996</v>
      </c>
      <c r="P53" s="31">
        <v>6.0730000000000004</v>
      </c>
      <c r="Q53" s="31">
        <v>6.1970000000000001</v>
      </c>
      <c r="R53" s="31">
        <v>6.306</v>
      </c>
      <c r="S53" s="31">
        <v>6.4930000000000003</v>
      </c>
      <c r="T53" s="31">
        <v>6.65</v>
      </c>
      <c r="U53" s="31">
        <v>6.7839999999999998</v>
      </c>
      <c r="V53" s="31">
        <v>6.9</v>
      </c>
      <c r="W53" s="167">
        <v>7.0049999999999999</v>
      </c>
    </row>
    <row r="54" spans="1:23" x14ac:dyDescent="0.25">
      <c r="A54">
        <v>19</v>
      </c>
      <c r="B54" s="166">
        <v>3.4420000000000002</v>
      </c>
      <c r="C54" s="31">
        <v>4.0679999999999996</v>
      </c>
      <c r="D54" s="31">
        <v>4.4509999999999996</v>
      </c>
      <c r="E54" s="31">
        <v>4.7279999999999998</v>
      </c>
      <c r="F54" s="31">
        <v>4.9450000000000003</v>
      </c>
      <c r="G54" s="31">
        <v>5.1230000000000002</v>
      </c>
      <c r="H54" s="31">
        <v>5.2750000000000004</v>
      </c>
      <c r="I54" s="31">
        <v>5.4050000000000002</v>
      </c>
      <c r="J54" s="31">
        <v>5.5209999999999999</v>
      </c>
      <c r="K54" s="31">
        <v>5.6239999999999997</v>
      </c>
      <c r="L54" s="31">
        <v>5.718</v>
      </c>
      <c r="M54" s="31">
        <v>5.8029999999999999</v>
      </c>
      <c r="N54" s="31">
        <v>5.8810000000000002</v>
      </c>
      <c r="O54" s="31">
        <v>5.9539999999999997</v>
      </c>
      <c r="P54" s="31">
        <v>6.02</v>
      </c>
      <c r="Q54" s="31">
        <v>6.1420000000000003</v>
      </c>
      <c r="R54" s="31">
        <v>6.25</v>
      </c>
      <c r="S54" s="31">
        <v>6.4340000000000002</v>
      </c>
      <c r="T54" s="31">
        <v>6.5880000000000001</v>
      </c>
      <c r="U54" s="31">
        <v>6.7190000000000003</v>
      </c>
      <c r="V54" s="31">
        <v>6.835</v>
      </c>
      <c r="W54" s="167">
        <v>6.9359999999999999</v>
      </c>
    </row>
    <row r="55" spans="1:23" x14ac:dyDescent="0.25">
      <c r="A55">
        <v>20</v>
      </c>
      <c r="B55" s="166">
        <v>3.427</v>
      </c>
      <c r="C55" s="31">
        <v>4.0469999999999997</v>
      </c>
      <c r="D55" s="31">
        <v>4.4260000000000002</v>
      </c>
      <c r="E55" s="31">
        <v>4.7</v>
      </c>
      <c r="F55" s="31">
        <v>4.9139999999999997</v>
      </c>
      <c r="G55" s="31">
        <v>5.0890000000000004</v>
      </c>
      <c r="H55" s="31">
        <v>5.2380000000000004</v>
      </c>
      <c r="I55" s="31">
        <v>5.3680000000000003</v>
      </c>
      <c r="J55" s="31">
        <v>5.4809999999999999</v>
      </c>
      <c r="K55" s="31">
        <v>5.5830000000000002</v>
      </c>
      <c r="L55" s="31">
        <v>5.6749999999999998</v>
      </c>
      <c r="M55" s="31">
        <v>5.7590000000000003</v>
      </c>
      <c r="N55" s="31">
        <v>5.8360000000000003</v>
      </c>
      <c r="O55" s="31">
        <v>5.907</v>
      </c>
      <c r="P55" s="31">
        <v>5.9740000000000002</v>
      </c>
      <c r="Q55" s="31">
        <v>6.093</v>
      </c>
      <c r="R55" s="31">
        <v>6.2</v>
      </c>
      <c r="S55" s="31">
        <v>6.3810000000000002</v>
      </c>
      <c r="T55" s="31">
        <v>6.532</v>
      </c>
      <c r="U55" s="31">
        <v>6.6619999999999999</v>
      </c>
      <c r="V55" s="31">
        <v>6.7750000000000004</v>
      </c>
      <c r="W55" s="167">
        <v>6.8760000000000003</v>
      </c>
    </row>
    <row r="56" spans="1:23" x14ac:dyDescent="0.25">
      <c r="A56">
        <v>24</v>
      </c>
      <c r="B56" s="166">
        <v>3.3809999999999998</v>
      </c>
      <c r="C56" s="31">
        <v>3.9830000000000001</v>
      </c>
      <c r="D56" s="31">
        <v>4.3470000000000004</v>
      </c>
      <c r="E56" s="31">
        <v>4.6100000000000003</v>
      </c>
      <c r="F56" s="31">
        <v>4.8159999999999998</v>
      </c>
      <c r="G56" s="31">
        <v>4.984</v>
      </c>
      <c r="H56" s="31">
        <v>5.2160000000000002</v>
      </c>
      <c r="I56" s="31">
        <v>5.25</v>
      </c>
      <c r="J56" s="31">
        <v>5.3579999999999997</v>
      </c>
      <c r="K56" s="31">
        <v>5.4550000000000001</v>
      </c>
      <c r="L56" s="31">
        <v>5.5430000000000001</v>
      </c>
      <c r="M56" s="31">
        <v>5.6230000000000002</v>
      </c>
      <c r="N56" s="31">
        <v>5.6970000000000001</v>
      </c>
      <c r="O56" s="31">
        <v>5.7640000000000002</v>
      </c>
      <c r="P56" s="31">
        <v>5.827</v>
      </c>
      <c r="Q56" s="31">
        <v>5.9409999999999998</v>
      </c>
      <c r="R56" s="31">
        <v>6.0430000000000001</v>
      </c>
      <c r="S56" s="31">
        <v>6.2149999999999999</v>
      </c>
      <c r="T56" s="31">
        <v>6.359</v>
      </c>
      <c r="U56" s="31">
        <v>6.4820000000000002</v>
      </c>
      <c r="V56" s="31">
        <v>6.5890000000000004</v>
      </c>
      <c r="W56" s="167">
        <v>6.6849999999999996</v>
      </c>
    </row>
    <row r="57" spans="1:23" x14ac:dyDescent="0.25">
      <c r="A57">
        <v>30</v>
      </c>
      <c r="B57" s="166">
        <v>3.3370000000000002</v>
      </c>
      <c r="C57" s="31">
        <v>3.919</v>
      </c>
      <c r="D57" s="31">
        <v>4.2709999999999999</v>
      </c>
      <c r="E57" s="31">
        <v>4.5229999999999997</v>
      </c>
      <c r="F57" s="31">
        <v>4.72</v>
      </c>
      <c r="G57" s="31">
        <v>4.8810000000000002</v>
      </c>
      <c r="H57" s="31">
        <v>5.0170000000000003</v>
      </c>
      <c r="I57" s="31">
        <v>5.1340000000000003</v>
      </c>
      <c r="J57" s="31">
        <v>5.2380000000000004</v>
      </c>
      <c r="K57" s="31">
        <v>5.33</v>
      </c>
      <c r="L57" s="31">
        <v>5.4139999999999997</v>
      </c>
      <c r="M57" s="31">
        <v>5.49</v>
      </c>
      <c r="N57" s="31">
        <v>5.56</v>
      </c>
      <c r="O57" s="31">
        <v>5.6239999999999997</v>
      </c>
      <c r="P57" s="31">
        <v>5.6840000000000002</v>
      </c>
      <c r="Q57" s="31">
        <v>5.7919999999999998</v>
      </c>
      <c r="R57" s="31">
        <v>5.8879999999999999</v>
      </c>
      <c r="S57" s="31">
        <v>6.0519999999999996</v>
      </c>
      <c r="T57" s="31">
        <v>6.1879999999999997</v>
      </c>
      <c r="U57" s="31">
        <v>6.3049999999999997</v>
      </c>
      <c r="V57" s="31">
        <v>6.4059999999999997</v>
      </c>
      <c r="W57" s="167">
        <v>6.4969999999999999</v>
      </c>
    </row>
    <row r="58" spans="1:23" x14ac:dyDescent="0.25">
      <c r="A58">
        <v>40</v>
      </c>
      <c r="B58" s="166">
        <v>3.294</v>
      </c>
      <c r="C58" s="31">
        <v>3.8580000000000001</v>
      </c>
      <c r="D58" s="31">
        <v>4.1970000000000001</v>
      </c>
      <c r="E58" s="31">
        <v>4.4390000000000001</v>
      </c>
      <c r="F58" s="31">
        <v>4.6269999999999998</v>
      </c>
      <c r="G58" s="31">
        <v>4.78</v>
      </c>
      <c r="H58" s="31">
        <v>4.91</v>
      </c>
      <c r="I58" s="31">
        <v>5.0220000000000002</v>
      </c>
      <c r="J58" s="31">
        <v>5.12</v>
      </c>
      <c r="K58" s="31">
        <v>5.2080000000000002</v>
      </c>
      <c r="L58" s="31">
        <v>5.2880000000000003</v>
      </c>
      <c r="M58" s="31">
        <v>5.36</v>
      </c>
      <c r="N58" s="31">
        <v>5.4260000000000002</v>
      </c>
      <c r="O58" s="31">
        <v>5.4870000000000001</v>
      </c>
      <c r="P58" s="31">
        <v>5.5439999999999996</v>
      </c>
      <c r="Q58" s="31">
        <v>5.6459999999999999</v>
      </c>
      <c r="R58" s="31">
        <v>5.7370000000000001</v>
      </c>
      <c r="S58" s="31">
        <v>5.891</v>
      </c>
      <c r="T58" s="31">
        <v>6.02</v>
      </c>
      <c r="U58" s="31">
        <v>6.13</v>
      </c>
      <c r="V58" s="31">
        <v>6.226</v>
      </c>
      <c r="W58" s="167">
        <v>6.3109999999999999</v>
      </c>
    </row>
    <row r="59" spans="1:23" x14ac:dyDescent="0.25">
      <c r="A59">
        <v>60</v>
      </c>
      <c r="B59" s="166">
        <v>3.2509999999999999</v>
      </c>
      <c r="C59" s="31">
        <v>3.798</v>
      </c>
      <c r="D59" s="31">
        <v>4.1239999999999997</v>
      </c>
      <c r="E59" s="31">
        <v>4.3559999999999999</v>
      </c>
      <c r="F59" s="31">
        <v>4.5359999999999996</v>
      </c>
      <c r="G59" s="31">
        <v>4.6820000000000004</v>
      </c>
      <c r="H59" s="31">
        <v>4.806</v>
      </c>
      <c r="I59" s="31">
        <v>4.9119999999999999</v>
      </c>
      <c r="J59" s="31">
        <v>5.0060000000000002</v>
      </c>
      <c r="K59" s="31">
        <v>5.0890000000000004</v>
      </c>
      <c r="L59" s="31">
        <v>5.1639999999999997</v>
      </c>
      <c r="M59" s="31">
        <v>5.2320000000000002</v>
      </c>
      <c r="N59" s="31">
        <v>5.2949999999999999</v>
      </c>
      <c r="O59" s="31">
        <v>5.3520000000000003</v>
      </c>
      <c r="P59" s="31">
        <v>5.4059999999999997</v>
      </c>
      <c r="Q59" s="31">
        <v>5.5030000000000001</v>
      </c>
      <c r="R59" s="31">
        <v>5.5880000000000001</v>
      </c>
      <c r="S59" s="31">
        <v>5.7329999999999997</v>
      </c>
      <c r="T59" s="31">
        <v>5.8540000000000001</v>
      </c>
      <c r="U59" s="31">
        <v>5.9580000000000002</v>
      </c>
      <c r="V59" s="31">
        <v>6.048</v>
      </c>
      <c r="W59" s="167">
        <v>6.1269999999999998</v>
      </c>
    </row>
    <row r="60" spans="1:23" x14ac:dyDescent="0.25">
      <c r="A60">
        <v>120</v>
      </c>
      <c r="B60" s="166">
        <v>3.21</v>
      </c>
      <c r="C60" s="31">
        <v>3.7389999999999999</v>
      </c>
      <c r="D60" s="31">
        <v>4.0529999999999999</v>
      </c>
      <c r="E60" s="31">
        <v>4.2759999999999998</v>
      </c>
      <c r="F60" s="31">
        <v>4.4470000000000001</v>
      </c>
      <c r="G60" s="31">
        <v>4.5869999999999997</v>
      </c>
      <c r="H60" s="31">
        <v>4.7039999999999997</v>
      </c>
      <c r="I60" s="31">
        <v>4.8049999999999997</v>
      </c>
      <c r="J60" s="31">
        <v>4.8940000000000001</v>
      </c>
      <c r="K60" s="31">
        <v>4.9720000000000004</v>
      </c>
      <c r="L60" s="31">
        <v>5.0430000000000001</v>
      </c>
      <c r="M60" s="31">
        <v>5.1070000000000002</v>
      </c>
      <c r="N60" s="31">
        <v>5.1660000000000004</v>
      </c>
      <c r="O60" s="31">
        <v>5.2210000000000001</v>
      </c>
      <c r="P60" s="31">
        <v>5.2709999999999999</v>
      </c>
      <c r="Q60" s="31">
        <v>5.3620000000000001</v>
      </c>
      <c r="R60" s="31">
        <v>5.4420000000000002</v>
      </c>
      <c r="S60" s="31">
        <v>5.5780000000000003</v>
      </c>
      <c r="T60" s="31">
        <v>5.6909999999999998</v>
      </c>
      <c r="U60" s="31">
        <v>5.7880000000000003</v>
      </c>
      <c r="V60" s="31">
        <v>5.8719999999999999</v>
      </c>
      <c r="W60" s="167">
        <v>5.9459999999999997</v>
      </c>
    </row>
    <row r="61" spans="1:23" x14ac:dyDescent="0.25">
      <c r="A61" s="12" t="s">
        <v>115</v>
      </c>
      <c r="B61" s="168">
        <v>3.17</v>
      </c>
      <c r="C61" s="218">
        <v>3.6819999999999999</v>
      </c>
      <c r="D61" s="218">
        <v>3.984</v>
      </c>
      <c r="E61" s="218">
        <v>4.1970000000000001</v>
      </c>
      <c r="F61" s="218">
        <v>4.3609999999999998</v>
      </c>
      <c r="G61" s="218">
        <v>4.4939999999999998</v>
      </c>
      <c r="H61" s="218">
        <v>4.6050000000000004</v>
      </c>
      <c r="I61" s="218">
        <v>4.7</v>
      </c>
      <c r="J61" s="218">
        <v>4.7839999999999998</v>
      </c>
      <c r="K61" s="218">
        <v>4.8579999999999997</v>
      </c>
      <c r="L61" s="218">
        <v>4.9249999999999998</v>
      </c>
      <c r="M61" s="218">
        <v>4.9850000000000003</v>
      </c>
      <c r="N61" s="218">
        <v>5.0410000000000004</v>
      </c>
      <c r="O61" s="218">
        <v>5.0919999999999996</v>
      </c>
      <c r="P61" s="218">
        <v>5.1390000000000002</v>
      </c>
      <c r="Q61" s="218">
        <v>5.2240000000000002</v>
      </c>
      <c r="R61" s="218">
        <v>5.2990000000000004</v>
      </c>
      <c r="S61" s="218">
        <v>5.4249999999999998</v>
      </c>
      <c r="T61" s="218">
        <v>5.53</v>
      </c>
      <c r="U61" s="218">
        <v>5.62</v>
      </c>
      <c r="V61" s="218">
        <v>5.6980000000000004</v>
      </c>
      <c r="W61" s="169">
        <v>5.76</v>
      </c>
    </row>
    <row r="63" spans="1:23" x14ac:dyDescent="0.25">
      <c r="A63" t="s">
        <v>17</v>
      </c>
      <c r="B63">
        <v>0.05</v>
      </c>
    </row>
    <row r="64" spans="1:23" x14ac:dyDescent="0.25">
      <c r="B64" t="s">
        <v>55</v>
      </c>
    </row>
    <row r="65" spans="1:23" x14ac:dyDescent="0.25">
      <c r="A65" s="12" t="s">
        <v>37</v>
      </c>
      <c r="B65">
        <v>2</v>
      </c>
      <c r="C65">
        <f>B65+1</f>
        <v>3</v>
      </c>
      <c r="D65">
        <f t="shared" ref="D65:L65" si="2">C65+1</f>
        <v>4</v>
      </c>
      <c r="E65">
        <f t="shared" si="2"/>
        <v>5</v>
      </c>
      <c r="F65">
        <f t="shared" si="2"/>
        <v>6</v>
      </c>
      <c r="G65">
        <f t="shared" si="2"/>
        <v>7</v>
      </c>
      <c r="H65">
        <f t="shared" si="2"/>
        <v>8</v>
      </c>
      <c r="I65">
        <f t="shared" si="2"/>
        <v>9</v>
      </c>
      <c r="J65">
        <f t="shared" si="2"/>
        <v>10</v>
      </c>
      <c r="K65">
        <f t="shared" si="2"/>
        <v>11</v>
      </c>
      <c r="L65">
        <f t="shared" si="2"/>
        <v>12</v>
      </c>
      <c r="M65">
        <v>13</v>
      </c>
      <c r="N65">
        <f>M65+1</f>
        <v>14</v>
      </c>
      <c r="O65">
        <f>N65+1</f>
        <v>15</v>
      </c>
      <c r="P65">
        <f>O65+1</f>
        <v>16</v>
      </c>
      <c r="Q65">
        <f>P65+2</f>
        <v>18</v>
      </c>
      <c r="R65">
        <f>Q65+2</f>
        <v>20</v>
      </c>
      <c r="S65">
        <f>R65+4</f>
        <v>24</v>
      </c>
      <c r="T65">
        <f>S65+4</f>
        <v>28</v>
      </c>
      <c r="U65">
        <f>T65+4</f>
        <v>32</v>
      </c>
      <c r="V65">
        <f>U65+4</f>
        <v>36</v>
      </c>
      <c r="W65">
        <f>V65+4</f>
        <v>40</v>
      </c>
    </row>
    <row r="66" spans="1:23" x14ac:dyDescent="0.25">
      <c r="A66">
        <v>1</v>
      </c>
      <c r="B66" s="3">
        <v>17.97</v>
      </c>
      <c r="C66" s="192">
        <v>26.98</v>
      </c>
      <c r="D66" s="192">
        <v>32.82</v>
      </c>
      <c r="E66" s="192">
        <v>37.08</v>
      </c>
      <c r="F66" s="192">
        <v>40.409999999999997</v>
      </c>
      <c r="G66" s="192">
        <v>43.12</v>
      </c>
      <c r="H66" s="261">
        <v>45.4</v>
      </c>
      <c r="I66" s="192">
        <v>47.36</v>
      </c>
      <c r="J66" s="192">
        <v>49.07</v>
      </c>
      <c r="K66" s="192">
        <v>50.59</v>
      </c>
      <c r="L66" s="192">
        <v>51.96</v>
      </c>
      <c r="M66" s="261">
        <v>53.2</v>
      </c>
      <c r="N66" s="192">
        <v>54.33</v>
      </c>
      <c r="O66" s="192">
        <v>55.36</v>
      </c>
      <c r="P66" s="192">
        <v>56.32</v>
      </c>
      <c r="Q66" s="192">
        <v>58.04</v>
      </c>
      <c r="R66" s="192">
        <v>59.56</v>
      </c>
      <c r="S66" s="192">
        <v>62.12</v>
      </c>
      <c r="T66" s="192">
        <v>64.23</v>
      </c>
      <c r="U66" s="192">
        <v>66.010000000000005</v>
      </c>
      <c r="V66" s="192">
        <v>67.56</v>
      </c>
      <c r="W66" s="5">
        <v>68.92</v>
      </c>
    </row>
    <row r="67" spans="1:23" x14ac:dyDescent="0.25">
      <c r="A67">
        <v>2</v>
      </c>
      <c r="B67" s="107">
        <v>6.085</v>
      </c>
      <c r="C67" s="7">
        <v>8.3309999999999995</v>
      </c>
      <c r="D67" s="7">
        <v>9.798</v>
      </c>
      <c r="E67" s="7">
        <v>10.88</v>
      </c>
      <c r="F67" s="7">
        <v>11.74</v>
      </c>
      <c r="G67" s="7">
        <v>12.44</v>
      </c>
      <c r="H67" s="7">
        <v>13.03</v>
      </c>
      <c r="I67" s="7">
        <v>13.54</v>
      </c>
      <c r="J67" s="7">
        <v>13.99</v>
      </c>
      <c r="K67" s="7">
        <v>14.39</v>
      </c>
      <c r="L67" s="7">
        <v>14.75</v>
      </c>
      <c r="M67" s="7">
        <v>15.08</v>
      </c>
      <c r="N67" s="7">
        <v>15.38</v>
      </c>
      <c r="O67" s="7">
        <v>15.65</v>
      </c>
      <c r="P67" s="7">
        <v>15.91</v>
      </c>
      <c r="Q67" s="7">
        <v>16.37</v>
      </c>
      <c r="R67" s="7">
        <v>16.77</v>
      </c>
      <c r="S67" s="7">
        <v>17.45</v>
      </c>
      <c r="T67" s="7">
        <v>18.02</v>
      </c>
      <c r="U67" s="7">
        <v>18.5</v>
      </c>
      <c r="V67" s="7">
        <v>18.920000000000002</v>
      </c>
      <c r="W67" s="108">
        <v>19.28</v>
      </c>
    </row>
    <row r="68" spans="1:23" x14ac:dyDescent="0.25">
      <c r="A68">
        <v>3</v>
      </c>
      <c r="B68" s="107">
        <v>4.5010000000000003</v>
      </c>
      <c r="C68" s="31">
        <v>5.91</v>
      </c>
      <c r="D68" s="7">
        <v>6.8250000000000002</v>
      </c>
      <c r="E68" s="7">
        <v>7.5019999999999998</v>
      </c>
      <c r="F68" s="7">
        <v>8.0370000000000008</v>
      </c>
      <c r="G68" s="7">
        <v>8.4779999999999998</v>
      </c>
      <c r="H68" s="7">
        <v>8.8529999999999998</v>
      </c>
      <c r="I68" s="7">
        <v>9.1769999999999996</v>
      </c>
      <c r="J68" s="7">
        <v>9.4619999999999997</v>
      </c>
      <c r="K68" s="7">
        <v>9.7170000000000005</v>
      </c>
      <c r="L68" s="7">
        <v>9.9459999999999997</v>
      </c>
      <c r="M68" s="7">
        <v>10.15</v>
      </c>
      <c r="N68" s="7">
        <v>10.35</v>
      </c>
      <c r="O68" s="7">
        <v>10.53</v>
      </c>
      <c r="P68" s="7">
        <v>10.69</v>
      </c>
      <c r="Q68" s="7">
        <v>10.98</v>
      </c>
      <c r="R68" s="7">
        <v>11.24</v>
      </c>
      <c r="S68" s="7">
        <v>11.68</v>
      </c>
      <c r="T68" s="7">
        <v>12.05</v>
      </c>
      <c r="U68" s="7">
        <v>12.36</v>
      </c>
      <c r="V68" s="7">
        <v>12.63</v>
      </c>
      <c r="W68" s="108">
        <v>12.87</v>
      </c>
    </row>
    <row r="69" spans="1:23" x14ac:dyDescent="0.25">
      <c r="A69">
        <v>4</v>
      </c>
      <c r="B69" s="166">
        <v>3.927</v>
      </c>
      <c r="C69" s="31">
        <v>5.04</v>
      </c>
      <c r="D69" s="31">
        <v>5.7569999999999997</v>
      </c>
      <c r="E69" s="31">
        <v>6.2869999999999999</v>
      </c>
      <c r="F69" s="31">
        <v>6.7069999999999999</v>
      </c>
      <c r="G69" s="31">
        <v>7.0529999999999999</v>
      </c>
      <c r="H69" s="31">
        <v>7.3470000000000004</v>
      </c>
      <c r="I69" s="31">
        <v>7.6020000000000003</v>
      </c>
      <c r="J69" s="31">
        <v>7.8259999999999996</v>
      </c>
      <c r="K69" s="31">
        <v>8.0269999999999992</v>
      </c>
      <c r="L69" s="31">
        <v>8.2080000000000002</v>
      </c>
      <c r="M69" s="31">
        <v>8.3729999999999993</v>
      </c>
      <c r="N69" s="31">
        <v>8.5250000000000004</v>
      </c>
      <c r="O69" s="31">
        <v>8.6639999999999997</v>
      </c>
      <c r="P69" s="31">
        <v>8.7940000000000005</v>
      </c>
      <c r="Q69" s="31">
        <v>9.0280000000000005</v>
      </c>
      <c r="R69" s="31">
        <v>9.2330000000000005</v>
      </c>
      <c r="S69" s="31">
        <v>9.5839999999999996</v>
      </c>
      <c r="T69" s="31">
        <v>9.875</v>
      </c>
      <c r="U69" s="29">
        <v>10.119999999999999</v>
      </c>
      <c r="V69" s="29">
        <v>10.34</v>
      </c>
      <c r="W69" s="145">
        <v>10.53</v>
      </c>
    </row>
    <row r="70" spans="1:23" x14ac:dyDescent="0.25">
      <c r="A70">
        <v>5</v>
      </c>
      <c r="B70" s="166">
        <v>3.6349999999999998</v>
      </c>
      <c r="C70" s="31">
        <v>4.6020000000000003</v>
      </c>
      <c r="D70" s="31">
        <v>5.218</v>
      </c>
      <c r="E70" s="31">
        <v>5.673</v>
      </c>
      <c r="F70" s="31">
        <v>6.0330000000000004</v>
      </c>
      <c r="G70" s="31">
        <v>6.33</v>
      </c>
      <c r="H70" s="31">
        <v>6.5819999999999999</v>
      </c>
      <c r="I70" s="31">
        <v>6.8019999999999996</v>
      </c>
      <c r="J70" s="31">
        <v>6.9950000000000001</v>
      </c>
      <c r="K70" s="31">
        <v>7.1680000000000001</v>
      </c>
      <c r="L70" s="31">
        <v>7.3239999999999998</v>
      </c>
      <c r="M70" s="31">
        <v>7.4660000000000002</v>
      </c>
      <c r="N70" s="31">
        <v>7.5960000000000001</v>
      </c>
      <c r="O70" s="31">
        <v>7.7169999999999996</v>
      </c>
      <c r="P70" s="31">
        <v>7.8280000000000003</v>
      </c>
      <c r="Q70" s="31">
        <v>8.0299999999999994</v>
      </c>
      <c r="R70" s="31">
        <v>8.2080000000000002</v>
      </c>
      <c r="S70" s="31">
        <v>8.5120000000000005</v>
      </c>
      <c r="T70" s="31">
        <v>8.7639999999999993</v>
      </c>
      <c r="U70" s="31">
        <v>8.9789999999999992</v>
      </c>
      <c r="V70" s="31">
        <v>9.1649999999999991</v>
      </c>
      <c r="W70" s="167">
        <v>9.33</v>
      </c>
    </row>
    <row r="71" spans="1:23" x14ac:dyDescent="0.25">
      <c r="A71">
        <v>6</v>
      </c>
      <c r="B71" s="166">
        <v>3.4609999999999999</v>
      </c>
      <c r="C71" s="31">
        <v>4.3390000000000004</v>
      </c>
      <c r="D71" s="31">
        <v>4.8959999999999999</v>
      </c>
      <c r="E71" s="31">
        <v>5.3049999999999997</v>
      </c>
      <c r="F71" s="31">
        <v>5.6280000000000001</v>
      </c>
      <c r="G71" s="31">
        <v>5.8949999999999996</v>
      </c>
      <c r="H71" s="31">
        <v>6.1219999999999999</v>
      </c>
      <c r="I71" s="31">
        <v>6.319</v>
      </c>
      <c r="J71" s="31">
        <v>6.4930000000000003</v>
      </c>
      <c r="K71" s="31">
        <v>6.649</v>
      </c>
      <c r="L71" s="31">
        <v>6.7889999999999997</v>
      </c>
      <c r="M71" s="31">
        <v>6.9169999999999998</v>
      </c>
      <c r="N71" s="31">
        <v>7.0339999999999998</v>
      </c>
      <c r="O71" s="31">
        <v>7.1429999999999998</v>
      </c>
      <c r="P71" s="31">
        <v>7.2439999999999998</v>
      </c>
      <c r="Q71" s="31">
        <v>7.4260000000000002</v>
      </c>
      <c r="R71" s="31">
        <v>7.5869999999999997</v>
      </c>
      <c r="S71" s="31">
        <v>7.8609999999999998</v>
      </c>
      <c r="T71" s="31">
        <v>8.0879999999999992</v>
      </c>
      <c r="U71" s="31">
        <v>8.2829999999999995</v>
      </c>
      <c r="V71" s="31">
        <v>8.452</v>
      </c>
      <c r="W71" s="167">
        <v>8.6010000000000009</v>
      </c>
    </row>
    <row r="72" spans="1:23" x14ac:dyDescent="0.25">
      <c r="A72">
        <v>7</v>
      </c>
      <c r="B72" s="166">
        <v>3.3439999999999999</v>
      </c>
      <c r="C72" s="31">
        <v>4.165</v>
      </c>
      <c r="D72" s="31">
        <v>4.681</v>
      </c>
      <c r="E72" s="31">
        <v>5.0599999999999996</v>
      </c>
      <c r="F72" s="31">
        <v>5.359</v>
      </c>
      <c r="G72" s="31">
        <v>5.6059999999999999</v>
      </c>
      <c r="H72" s="31">
        <v>5.8150000000000004</v>
      </c>
      <c r="I72" s="31">
        <v>5.9980000000000002</v>
      </c>
      <c r="J72" s="31">
        <v>6.1580000000000004</v>
      </c>
      <c r="K72" s="31">
        <v>6.3019999999999996</v>
      </c>
      <c r="L72" s="31">
        <v>6.431</v>
      </c>
      <c r="M72" s="31">
        <v>6.55</v>
      </c>
      <c r="N72" s="31">
        <v>6.6580000000000004</v>
      </c>
      <c r="O72" s="31">
        <v>6.7590000000000003</v>
      </c>
      <c r="P72" s="31">
        <v>6.8520000000000003</v>
      </c>
      <c r="Q72" s="31">
        <v>7.02</v>
      </c>
      <c r="R72" s="31">
        <v>7.17</v>
      </c>
      <c r="S72" s="31">
        <v>7.423</v>
      </c>
      <c r="T72" s="31">
        <v>7.6340000000000003</v>
      </c>
      <c r="U72" s="31">
        <v>7.8140000000000001</v>
      </c>
      <c r="V72" s="31">
        <v>7.9720000000000004</v>
      </c>
      <c r="W72" s="167">
        <v>8.11</v>
      </c>
    </row>
    <row r="73" spans="1:23" x14ac:dyDescent="0.25">
      <c r="A73">
        <v>8</v>
      </c>
      <c r="B73" s="166">
        <v>3.2610000000000001</v>
      </c>
      <c r="C73" s="31">
        <v>4.0410000000000004</v>
      </c>
      <c r="D73" s="31">
        <v>4.5289999999999999</v>
      </c>
      <c r="E73" s="31">
        <v>4.8860000000000001</v>
      </c>
      <c r="F73" s="31">
        <v>5.1669999999999998</v>
      </c>
      <c r="G73" s="31">
        <v>5.399</v>
      </c>
      <c r="H73" s="31">
        <v>5.5970000000000004</v>
      </c>
      <c r="I73" s="31">
        <v>5.7670000000000003</v>
      </c>
      <c r="J73" s="31">
        <v>5.9180000000000001</v>
      </c>
      <c r="K73" s="31">
        <v>6.0540000000000003</v>
      </c>
      <c r="L73" s="31">
        <v>6.1749999999999998</v>
      </c>
      <c r="M73" s="31">
        <v>6.2869999999999999</v>
      </c>
      <c r="N73" s="31">
        <v>6.3890000000000002</v>
      </c>
      <c r="O73" s="31">
        <v>6.4829999999999997</v>
      </c>
      <c r="P73" s="31">
        <v>6.5709999999999997</v>
      </c>
      <c r="Q73" s="31">
        <v>6.7290000000000001</v>
      </c>
      <c r="R73" s="31">
        <v>6.87</v>
      </c>
      <c r="S73" s="31">
        <v>7.109</v>
      </c>
      <c r="T73" s="31">
        <v>7.3070000000000004</v>
      </c>
      <c r="U73" s="31">
        <v>7.4770000000000003</v>
      </c>
      <c r="V73" s="31">
        <v>7.625</v>
      </c>
      <c r="W73" s="167">
        <v>7.7560000000000002</v>
      </c>
    </row>
    <row r="74" spans="1:23" x14ac:dyDescent="0.25">
      <c r="A74">
        <v>9</v>
      </c>
      <c r="B74" s="166">
        <v>3.1989999999999998</v>
      </c>
      <c r="C74" s="31">
        <v>3.9489999999999998</v>
      </c>
      <c r="D74" s="31">
        <v>4.415</v>
      </c>
      <c r="E74" s="31">
        <v>4.7560000000000002</v>
      </c>
      <c r="F74" s="31">
        <v>5.024</v>
      </c>
      <c r="G74" s="31">
        <v>5.2439999999999998</v>
      </c>
      <c r="H74" s="31">
        <v>5.4320000000000004</v>
      </c>
      <c r="I74" s="31">
        <v>5.5949999999999998</v>
      </c>
      <c r="J74" s="31">
        <v>5.7389999999999999</v>
      </c>
      <c r="K74" s="31">
        <v>5.867</v>
      </c>
      <c r="L74" s="31">
        <v>5.9829999999999997</v>
      </c>
      <c r="M74" s="31">
        <v>6.0890000000000004</v>
      </c>
      <c r="N74" s="31">
        <v>6.1859999999999999</v>
      </c>
      <c r="O74" s="31">
        <v>6.2759999999999998</v>
      </c>
      <c r="P74" s="31">
        <v>6.359</v>
      </c>
      <c r="Q74" s="31">
        <v>6.51</v>
      </c>
      <c r="R74" s="31">
        <v>6.6440000000000001</v>
      </c>
      <c r="S74" s="31">
        <v>6.8710000000000004</v>
      </c>
      <c r="T74" s="31">
        <v>7.0609999999999999</v>
      </c>
      <c r="U74" s="31">
        <v>7.2220000000000004</v>
      </c>
      <c r="V74" s="31">
        <v>7.3630000000000004</v>
      </c>
      <c r="W74" s="167">
        <v>7.4880000000000004</v>
      </c>
    </row>
    <row r="75" spans="1:23" x14ac:dyDescent="0.25">
      <c r="A75">
        <v>10</v>
      </c>
      <c r="B75" s="166">
        <v>3.1509999999999998</v>
      </c>
      <c r="C75" s="31">
        <v>3.8769999999999998</v>
      </c>
      <c r="D75" s="31">
        <v>4.327</v>
      </c>
      <c r="E75" s="31">
        <v>4.6539999999999999</v>
      </c>
      <c r="F75" s="31">
        <v>4.9119999999999999</v>
      </c>
      <c r="G75" s="31">
        <v>5.1239999999999997</v>
      </c>
      <c r="H75" s="31">
        <v>5.3049999999999997</v>
      </c>
      <c r="I75" s="31">
        <v>5.4610000000000003</v>
      </c>
      <c r="J75" s="31">
        <v>5.5990000000000002</v>
      </c>
      <c r="K75" s="31">
        <v>5.7220000000000004</v>
      </c>
      <c r="L75" s="31">
        <v>5.8330000000000002</v>
      </c>
      <c r="M75" s="31">
        <v>5.9349999999999996</v>
      </c>
      <c r="N75" s="31">
        <v>6.0279999999999996</v>
      </c>
      <c r="O75" s="31">
        <v>6.1139999999999999</v>
      </c>
      <c r="P75" s="31">
        <v>6.194</v>
      </c>
      <c r="Q75" s="31">
        <v>6.3390000000000004</v>
      </c>
      <c r="R75" s="31">
        <v>6.4669999999999996</v>
      </c>
      <c r="S75" s="31">
        <v>6.6859999999999999</v>
      </c>
      <c r="T75" s="31">
        <v>6.8680000000000003</v>
      </c>
      <c r="U75" s="31">
        <v>7.0229999999999997</v>
      </c>
      <c r="V75" s="31">
        <v>7.1589999999999998</v>
      </c>
      <c r="W75" s="167">
        <v>7.2789999999999999</v>
      </c>
    </row>
    <row r="76" spans="1:23" x14ac:dyDescent="0.25">
      <c r="A76">
        <v>11</v>
      </c>
      <c r="B76" s="166">
        <v>3.113</v>
      </c>
      <c r="C76" s="31">
        <v>3.82</v>
      </c>
      <c r="D76" s="31">
        <v>4.2560000000000002</v>
      </c>
      <c r="E76" s="31">
        <v>4.5739999999999998</v>
      </c>
      <c r="F76" s="31">
        <v>4.8230000000000004</v>
      </c>
      <c r="G76" s="31">
        <v>5.0279999999999996</v>
      </c>
      <c r="H76" s="31">
        <v>5.202</v>
      </c>
      <c r="I76" s="31">
        <v>5.3529999999999998</v>
      </c>
      <c r="J76" s="31">
        <v>5.4870000000000001</v>
      </c>
      <c r="K76" s="31">
        <v>5.6050000000000004</v>
      </c>
      <c r="L76" s="31">
        <v>5.7130000000000001</v>
      </c>
      <c r="M76" s="31">
        <v>5.8109999999999999</v>
      </c>
      <c r="N76" s="31">
        <v>5.9009999999999998</v>
      </c>
      <c r="O76" s="31">
        <v>5.984</v>
      </c>
      <c r="P76" s="31">
        <v>6.0620000000000003</v>
      </c>
      <c r="Q76" s="31">
        <v>6.202</v>
      </c>
      <c r="R76" s="31">
        <v>6.3259999999999996</v>
      </c>
      <c r="S76" s="31">
        <v>6.5359999999999996</v>
      </c>
      <c r="T76" s="31">
        <v>6.7119999999999997</v>
      </c>
      <c r="U76" s="31">
        <v>6.8630000000000004</v>
      </c>
      <c r="V76" s="31">
        <v>6.9939999999999998</v>
      </c>
      <c r="W76" s="167">
        <v>7.11</v>
      </c>
    </row>
    <row r="77" spans="1:23" x14ac:dyDescent="0.25">
      <c r="A77">
        <v>12</v>
      </c>
      <c r="B77" s="166">
        <v>3.0819999999999999</v>
      </c>
      <c r="C77" s="31">
        <v>3.7730000000000001</v>
      </c>
      <c r="D77" s="31">
        <v>4.1989999999999998</v>
      </c>
      <c r="E77" s="31">
        <v>4.508</v>
      </c>
      <c r="F77" s="31">
        <v>4.7510000000000003</v>
      </c>
      <c r="G77" s="31">
        <v>4.95</v>
      </c>
      <c r="H77" s="31">
        <v>5.1189999999999998</v>
      </c>
      <c r="I77" s="31">
        <v>5.2649999999999997</v>
      </c>
      <c r="J77" s="31">
        <v>5.3949999999999996</v>
      </c>
      <c r="K77" s="31">
        <v>5.5110000000000001</v>
      </c>
      <c r="L77" s="31">
        <v>5.6150000000000002</v>
      </c>
      <c r="M77" s="31">
        <v>5.71</v>
      </c>
      <c r="N77" s="31">
        <v>5.798</v>
      </c>
      <c r="O77" s="31">
        <v>5.8780000000000001</v>
      </c>
      <c r="P77" s="31">
        <v>5.9530000000000003</v>
      </c>
      <c r="Q77" s="31">
        <v>6.0890000000000004</v>
      </c>
      <c r="R77" s="31">
        <v>6.2089999999999996</v>
      </c>
      <c r="S77" s="31">
        <v>6.4139999999999997</v>
      </c>
      <c r="T77" s="31">
        <v>6.585</v>
      </c>
      <c r="U77" s="31">
        <v>6.7309999999999999</v>
      </c>
      <c r="V77" s="31">
        <v>6.8579999999999997</v>
      </c>
      <c r="W77" s="167">
        <v>6.97</v>
      </c>
    </row>
    <row r="78" spans="1:23" x14ac:dyDescent="0.25">
      <c r="A78">
        <v>13</v>
      </c>
      <c r="B78" s="166">
        <v>3.0550000000000002</v>
      </c>
      <c r="C78" s="31">
        <v>3.7349999999999999</v>
      </c>
      <c r="D78" s="31">
        <v>4.1509999999999998</v>
      </c>
      <c r="E78" s="31">
        <v>4.4530000000000003</v>
      </c>
      <c r="F78" s="31">
        <v>4.6900000000000004</v>
      </c>
      <c r="G78" s="31">
        <v>4.8849999999999998</v>
      </c>
      <c r="H78" s="31">
        <v>5.0490000000000004</v>
      </c>
      <c r="I78" s="31">
        <v>5.1920000000000002</v>
      </c>
      <c r="J78" s="31">
        <v>5.3179999999999996</v>
      </c>
      <c r="K78" s="31">
        <v>5.431</v>
      </c>
      <c r="L78" s="31">
        <v>5.5330000000000004</v>
      </c>
      <c r="M78" s="31">
        <v>5.625</v>
      </c>
      <c r="N78" s="31">
        <v>5.7110000000000003</v>
      </c>
      <c r="O78" s="31">
        <v>5.7889999999999997</v>
      </c>
      <c r="P78" s="31">
        <v>5.8620000000000001</v>
      </c>
      <c r="Q78" s="31">
        <v>5.9950000000000001</v>
      </c>
      <c r="R78" s="31">
        <v>6.1120000000000001</v>
      </c>
      <c r="S78" s="31">
        <v>6.3120000000000003</v>
      </c>
      <c r="T78" s="31">
        <v>6.4779999999999998</v>
      </c>
      <c r="U78" s="31">
        <v>6.62</v>
      </c>
      <c r="V78" s="31">
        <v>6.7439999999999998</v>
      </c>
      <c r="W78" s="167">
        <v>6.8540000000000001</v>
      </c>
    </row>
    <row r="79" spans="1:23" x14ac:dyDescent="0.25">
      <c r="A79">
        <v>14</v>
      </c>
      <c r="B79" s="166">
        <v>3.0329999999999999</v>
      </c>
      <c r="C79" s="31">
        <v>3.702</v>
      </c>
      <c r="D79" s="31">
        <v>4.1109999999999998</v>
      </c>
      <c r="E79" s="31">
        <v>4.407</v>
      </c>
      <c r="F79" s="31">
        <v>4.6390000000000002</v>
      </c>
      <c r="G79" s="31">
        <v>4.8289999999999997</v>
      </c>
      <c r="H79" s="31">
        <v>4.99</v>
      </c>
      <c r="I79" s="31">
        <v>5.1310000000000002</v>
      </c>
      <c r="J79" s="31">
        <v>5.2539999999999996</v>
      </c>
      <c r="K79" s="31">
        <v>5.3639999999999999</v>
      </c>
      <c r="L79" s="31">
        <v>5.4630000000000001</v>
      </c>
      <c r="M79" s="31">
        <v>5.5540000000000003</v>
      </c>
      <c r="N79" s="31">
        <v>5.6369999999999996</v>
      </c>
      <c r="O79" s="31">
        <v>5.7140000000000004</v>
      </c>
      <c r="P79" s="31">
        <v>5.7859999999999996</v>
      </c>
      <c r="Q79" s="31">
        <v>5.915</v>
      </c>
      <c r="R79" s="31">
        <v>6.0289999999999999</v>
      </c>
      <c r="S79" s="31">
        <v>6.2240000000000002</v>
      </c>
      <c r="T79" s="31">
        <v>6.3869999999999996</v>
      </c>
      <c r="U79" s="31">
        <v>6.5259999999999998</v>
      </c>
      <c r="V79" s="31">
        <v>6.6470000000000002</v>
      </c>
      <c r="W79" s="167">
        <v>6.7539999999999996</v>
      </c>
    </row>
    <row r="80" spans="1:23" x14ac:dyDescent="0.25">
      <c r="A80">
        <v>15</v>
      </c>
      <c r="B80" s="166">
        <v>3.0139999999999998</v>
      </c>
      <c r="C80" s="31">
        <v>3.6739999999999999</v>
      </c>
      <c r="D80" s="31">
        <v>4.0759999999999996</v>
      </c>
      <c r="E80" s="31">
        <v>4.367</v>
      </c>
      <c r="F80" s="31">
        <v>4.5949999999999998</v>
      </c>
      <c r="G80" s="31">
        <v>4.782</v>
      </c>
      <c r="H80" s="31">
        <v>4.9400000000000004</v>
      </c>
      <c r="I80" s="31">
        <v>5.077</v>
      </c>
      <c r="J80" s="31">
        <v>5.1980000000000004</v>
      </c>
      <c r="K80" s="31">
        <v>5.306</v>
      </c>
      <c r="L80" s="31">
        <v>5.4039999999999999</v>
      </c>
      <c r="M80" s="31">
        <v>5.4930000000000003</v>
      </c>
      <c r="N80" s="31">
        <v>5.5739999999999998</v>
      </c>
      <c r="O80" s="31">
        <v>5.649</v>
      </c>
      <c r="P80" s="31">
        <v>5.72</v>
      </c>
      <c r="Q80" s="31">
        <v>5.8460000000000001</v>
      </c>
      <c r="R80" s="31">
        <v>5.9580000000000002</v>
      </c>
      <c r="S80" s="31">
        <v>6.149</v>
      </c>
      <c r="T80" s="31">
        <v>6.3090000000000002</v>
      </c>
      <c r="U80" s="31">
        <v>6.4450000000000003</v>
      </c>
      <c r="V80" s="31">
        <v>6.5640000000000001</v>
      </c>
      <c r="W80" s="167">
        <v>6.6689999999999996</v>
      </c>
    </row>
    <row r="81" spans="1:23" x14ac:dyDescent="0.25">
      <c r="A81">
        <v>16</v>
      </c>
      <c r="B81" s="166">
        <v>2.9980000000000002</v>
      </c>
      <c r="C81" s="31">
        <v>3.649</v>
      </c>
      <c r="D81" s="31">
        <v>4.0460000000000003</v>
      </c>
      <c r="E81" s="31">
        <v>4.3330000000000002</v>
      </c>
      <c r="F81" s="31">
        <v>4.5570000000000004</v>
      </c>
      <c r="G81" s="31">
        <v>4.7409999999999997</v>
      </c>
      <c r="H81" s="31">
        <v>4.8970000000000002</v>
      </c>
      <c r="I81" s="31">
        <v>5.0309999999999997</v>
      </c>
      <c r="J81" s="31">
        <v>5.15</v>
      </c>
      <c r="K81" s="31">
        <v>5.2560000000000002</v>
      </c>
      <c r="L81" s="31">
        <v>5.3520000000000003</v>
      </c>
      <c r="M81" s="31">
        <v>5.4390000000000001</v>
      </c>
      <c r="N81" s="31">
        <v>5.52</v>
      </c>
      <c r="O81" s="31">
        <v>5.593</v>
      </c>
      <c r="P81" s="31">
        <v>5.6619999999999999</v>
      </c>
      <c r="Q81" s="31">
        <v>5.7859999999999996</v>
      </c>
      <c r="R81" s="31">
        <v>5.8970000000000002</v>
      </c>
      <c r="S81" s="31">
        <v>6.0839999999999996</v>
      </c>
      <c r="T81" s="31">
        <v>6.2409999999999997</v>
      </c>
      <c r="U81" s="31">
        <v>6.3739999999999997</v>
      </c>
      <c r="V81" s="31">
        <v>6.4909999999999997</v>
      </c>
      <c r="W81" s="167">
        <v>6.5940000000000003</v>
      </c>
    </row>
    <row r="82" spans="1:23" x14ac:dyDescent="0.25">
      <c r="A82">
        <v>17</v>
      </c>
      <c r="B82" s="166">
        <v>2.984</v>
      </c>
      <c r="C82" s="31">
        <v>3.6280000000000001</v>
      </c>
      <c r="D82" s="31">
        <v>4.0199999999999996</v>
      </c>
      <c r="E82" s="31">
        <v>4.3029999999999999</v>
      </c>
      <c r="F82" s="31">
        <v>4.524</v>
      </c>
      <c r="G82" s="31">
        <v>4.7050000000000001</v>
      </c>
      <c r="H82" s="31">
        <v>4.8579999999999997</v>
      </c>
      <c r="I82" s="31">
        <v>4.9909999999999997</v>
      </c>
      <c r="J82" s="31">
        <v>5.1079999999999997</v>
      </c>
      <c r="K82" s="31">
        <v>5.2119999999999997</v>
      </c>
      <c r="L82" s="31">
        <v>5.3070000000000004</v>
      </c>
      <c r="M82" s="31">
        <v>5.3920000000000003</v>
      </c>
      <c r="N82" s="31">
        <v>5.4710000000000001</v>
      </c>
      <c r="O82" s="31">
        <v>5.5439999999999996</v>
      </c>
      <c r="P82" s="31">
        <v>5.6120000000000001</v>
      </c>
      <c r="Q82" s="31">
        <v>5.734</v>
      </c>
      <c r="R82" s="31">
        <v>5.8419999999999996</v>
      </c>
      <c r="S82" s="31">
        <v>6.0270000000000001</v>
      </c>
      <c r="T82" s="31">
        <v>6.181</v>
      </c>
      <c r="U82" s="31">
        <v>6.3129999999999997</v>
      </c>
      <c r="V82" s="31">
        <v>6.4269999999999996</v>
      </c>
      <c r="W82" s="167">
        <v>6.5289999999999999</v>
      </c>
    </row>
    <row r="83" spans="1:23" x14ac:dyDescent="0.25">
      <c r="A83">
        <v>18</v>
      </c>
      <c r="B83" s="166">
        <v>2.9710000000000001</v>
      </c>
      <c r="C83" s="31">
        <v>3.609</v>
      </c>
      <c r="D83" s="31">
        <v>3.9969999999999999</v>
      </c>
      <c r="E83" s="31">
        <v>4.2770000000000001</v>
      </c>
      <c r="F83" s="31">
        <v>4.4950000000000001</v>
      </c>
      <c r="G83" s="31">
        <v>4.673</v>
      </c>
      <c r="H83" s="31">
        <v>4.8239999999999998</v>
      </c>
      <c r="I83" s="31">
        <v>4.9560000000000004</v>
      </c>
      <c r="J83" s="31">
        <v>5.0709999999999997</v>
      </c>
      <c r="K83" s="31">
        <v>5.1740000000000004</v>
      </c>
      <c r="L83" s="31">
        <v>5.2670000000000003</v>
      </c>
      <c r="M83" s="31">
        <v>5.3520000000000003</v>
      </c>
      <c r="N83" s="31">
        <v>5.4290000000000003</v>
      </c>
      <c r="O83" s="31">
        <v>5.5010000000000003</v>
      </c>
      <c r="P83" s="31">
        <v>5.5679999999999996</v>
      </c>
      <c r="Q83" s="31">
        <v>5.6879999999999997</v>
      </c>
      <c r="R83" s="31">
        <v>5.7939999999999996</v>
      </c>
      <c r="S83" s="31">
        <v>5.9770000000000003</v>
      </c>
      <c r="T83" s="31">
        <v>6.1280000000000001</v>
      </c>
      <c r="U83" s="31">
        <v>6.258</v>
      </c>
      <c r="V83" s="31">
        <v>6.3710000000000004</v>
      </c>
      <c r="W83" s="167">
        <v>6.4710000000000001</v>
      </c>
    </row>
    <row r="84" spans="1:23" x14ac:dyDescent="0.25">
      <c r="A84">
        <v>19</v>
      </c>
      <c r="B84" s="166">
        <v>2.96</v>
      </c>
      <c r="C84" s="31">
        <v>3.593</v>
      </c>
      <c r="D84" s="31">
        <v>3.9769999999999999</v>
      </c>
      <c r="E84" s="31">
        <v>4.2530000000000001</v>
      </c>
      <c r="F84" s="31">
        <v>4.4690000000000003</v>
      </c>
      <c r="G84" s="31">
        <v>4.6449999999999996</v>
      </c>
      <c r="H84" s="31">
        <v>4.7939999999999996</v>
      </c>
      <c r="I84" s="31">
        <v>4.9240000000000004</v>
      </c>
      <c r="J84" s="31">
        <v>5.0380000000000003</v>
      </c>
      <c r="K84" s="31">
        <v>5.14</v>
      </c>
      <c r="L84" s="31">
        <v>5.2309999999999999</v>
      </c>
      <c r="M84" s="31">
        <v>5.3150000000000004</v>
      </c>
      <c r="N84" s="31">
        <v>5.391</v>
      </c>
      <c r="O84" s="31">
        <v>5.4619999999999997</v>
      </c>
      <c r="P84" s="31">
        <v>5.5279999999999996</v>
      </c>
      <c r="Q84" s="31">
        <v>5.6470000000000002</v>
      </c>
      <c r="R84" s="31">
        <v>5.7519999999999998</v>
      </c>
      <c r="S84" s="31">
        <v>5.9320000000000004</v>
      </c>
      <c r="T84" s="31">
        <v>6.0810000000000004</v>
      </c>
      <c r="U84" s="31">
        <v>6.2089999999999996</v>
      </c>
      <c r="V84" s="31">
        <v>6.3209999999999997</v>
      </c>
      <c r="W84" s="167">
        <v>6.4189999999999996</v>
      </c>
    </row>
    <row r="85" spans="1:23" x14ac:dyDescent="0.25">
      <c r="A85">
        <v>20</v>
      </c>
      <c r="B85" s="166">
        <v>2.95</v>
      </c>
      <c r="C85" s="31">
        <v>3.5779999999999998</v>
      </c>
      <c r="D85" s="31">
        <v>3.9580000000000002</v>
      </c>
      <c r="E85" s="31">
        <v>4.2320000000000002</v>
      </c>
      <c r="F85" s="31">
        <v>4.4450000000000003</v>
      </c>
      <c r="G85" s="31">
        <v>4.62</v>
      </c>
      <c r="H85" s="31">
        <v>4.7679999999999998</v>
      </c>
      <c r="I85" s="31">
        <v>4.8959999999999999</v>
      </c>
      <c r="J85" s="31">
        <v>5.008</v>
      </c>
      <c r="K85" s="31">
        <v>5.1079999999999997</v>
      </c>
      <c r="L85" s="31">
        <v>5.1989999999999998</v>
      </c>
      <c r="M85" s="31">
        <v>5.282</v>
      </c>
      <c r="N85" s="31">
        <v>5.3570000000000002</v>
      </c>
      <c r="O85" s="31">
        <v>5.4269999999999996</v>
      </c>
      <c r="P85" s="31">
        <v>5.4930000000000003</v>
      </c>
      <c r="Q85" s="31">
        <v>5.61</v>
      </c>
      <c r="R85" s="31">
        <v>5.7140000000000004</v>
      </c>
      <c r="S85" s="31">
        <v>5.891</v>
      </c>
      <c r="T85" s="31">
        <v>6.0389999999999997</v>
      </c>
      <c r="U85" s="31">
        <v>6.165</v>
      </c>
      <c r="V85" s="31">
        <v>6.2750000000000004</v>
      </c>
      <c r="W85" s="167">
        <v>6.3730000000000002</v>
      </c>
    </row>
    <row r="86" spans="1:23" x14ac:dyDescent="0.25">
      <c r="A86">
        <v>24</v>
      </c>
      <c r="B86" s="166">
        <v>2.919</v>
      </c>
      <c r="C86" s="31">
        <v>3.532</v>
      </c>
      <c r="D86" s="31">
        <v>3.9009999999999998</v>
      </c>
      <c r="E86" s="31">
        <v>4.1660000000000004</v>
      </c>
      <c r="F86" s="31">
        <v>4.3730000000000002</v>
      </c>
      <c r="G86" s="31">
        <v>4.5410000000000004</v>
      </c>
      <c r="H86" s="31">
        <v>4.6840000000000002</v>
      </c>
      <c r="I86" s="31">
        <v>4.8070000000000004</v>
      </c>
      <c r="J86" s="31">
        <v>4.915</v>
      </c>
      <c r="K86" s="31">
        <v>5.0119999999999996</v>
      </c>
      <c r="L86" s="31">
        <v>5.0990000000000002</v>
      </c>
      <c r="M86" s="31">
        <v>5.1790000000000003</v>
      </c>
      <c r="N86" s="31">
        <v>5.2510000000000003</v>
      </c>
      <c r="O86" s="31">
        <v>5.319</v>
      </c>
      <c r="P86" s="31">
        <v>5.3810000000000002</v>
      </c>
      <c r="Q86" s="31">
        <v>5.4939999999999998</v>
      </c>
      <c r="R86" s="31">
        <v>5.5940000000000003</v>
      </c>
      <c r="S86" s="31">
        <v>5.7640000000000002</v>
      </c>
      <c r="T86" s="31">
        <v>5.9059999999999997</v>
      </c>
      <c r="U86" s="31">
        <v>6.0270000000000001</v>
      </c>
      <c r="V86" s="31">
        <v>6.1319999999999997</v>
      </c>
      <c r="W86" s="167">
        <v>6.226</v>
      </c>
    </row>
    <row r="87" spans="1:23" x14ac:dyDescent="0.25">
      <c r="A87">
        <v>30</v>
      </c>
      <c r="B87" s="166">
        <v>2.8879999999999999</v>
      </c>
      <c r="C87" s="31">
        <v>3.4860000000000002</v>
      </c>
      <c r="D87" s="31">
        <v>3.8450000000000002</v>
      </c>
      <c r="E87" s="31">
        <v>4.1020000000000003</v>
      </c>
      <c r="F87" s="31">
        <v>4.3019999999999996</v>
      </c>
      <c r="G87" s="31">
        <v>4.4640000000000004</v>
      </c>
      <c r="H87" s="31">
        <v>4.6020000000000003</v>
      </c>
      <c r="I87" s="31">
        <v>4.72</v>
      </c>
      <c r="J87" s="31">
        <v>4.8239999999999998</v>
      </c>
      <c r="K87" s="31">
        <v>4.9169999999999998</v>
      </c>
      <c r="L87" s="31">
        <v>5.0010000000000003</v>
      </c>
      <c r="M87" s="31">
        <v>5.077</v>
      </c>
      <c r="N87" s="31">
        <v>5.1470000000000002</v>
      </c>
      <c r="O87" s="31">
        <v>5.2110000000000003</v>
      </c>
      <c r="P87" s="31">
        <v>5.2709999999999999</v>
      </c>
      <c r="Q87" s="31">
        <v>5.3789999999999996</v>
      </c>
      <c r="R87" s="31">
        <v>5.4749999999999996</v>
      </c>
      <c r="S87" s="31">
        <v>5.6379999999999999</v>
      </c>
      <c r="T87" s="31">
        <v>5.774</v>
      </c>
      <c r="U87" s="31">
        <v>5.8890000000000002</v>
      </c>
      <c r="V87" s="31">
        <v>5.99</v>
      </c>
      <c r="W87" s="167">
        <v>6.08</v>
      </c>
    </row>
    <row r="88" spans="1:23" x14ac:dyDescent="0.25">
      <c r="A88">
        <v>40</v>
      </c>
      <c r="B88" s="166">
        <v>2.8580000000000001</v>
      </c>
      <c r="C88" s="31">
        <v>3.4420000000000002</v>
      </c>
      <c r="D88" s="31">
        <v>3.7909999999999999</v>
      </c>
      <c r="E88" s="31">
        <v>4.0389999999999997</v>
      </c>
      <c r="F88" s="31">
        <v>4.2320000000000002</v>
      </c>
      <c r="G88" s="31">
        <v>4.3890000000000002</v>
      </c>
      <c r="H88" s="31">
        <v>4.5209999999999999</v>
      </c>
      <c r="I88" s="31">
        <v>4.6349999999999998</v>
      </c>
      <c r="J88" s="31">
        <v>4.7350000000000003</v>
      </c>
      <c r="K88" s="31">
        <v>4.8239999999999998</v>
      </c>
      <c r="L88" s="31">
        <v>4.9039999999999999</v>
      </c>
      <c r="M88" s="31">
        <v>4.9770000000000003</v>
      </c>
      <c r="N88" s="31">
        <v>5.0439999999999996</v>
      </c>
      <c r="O88" s="31">
        <v>5.1059999999999999</v>
      </c>
      <c r="P88" s="31">
        <v>5.1630000000000003</v>
      </c>
      <c r="Q88" s="31">
        <v>5.266</v>
      </c>
      <c r="R88" s="31">
        <v>5.3579999999999997</v>
      </c>
      <c r="S88" s="31">
        <v>5.5129999999999999</v>
      </c>
      <c r="T88" s="31">
        <v>5.6420000000000003</v>
      </c>
      <c r="U88" s="31">
        <v>5.7530000000000001</v>
      </c>
      <c r="V88" s="31">
        <v>5.8490000000000002</v>
      </c>
      <c r="W88" s="167">
        <v>5.9340000000000002</v>
      </c>
    </row>
    <row r="89" spans="1:23" x14ac:dyDescent="0.25">
      <c r="A89">
        <v>60</v>
      </c>
      <c r="B89" s="166">
        <v>2.8290000000000002</v>
      </c>
      <c r="C89" s="31">
        <v>3.399</v>
      </c>
      <c r="D89" s="31">
        <v>3.7370000000000001</v>
      </c>
      <c r="E89" s="31">
        <v>3.9769999999999999</v>
      </c>
      <c r="F89" s="31">
        <v>4.1630000000000003</v>
      </c>
      <c r="G89" s="31">
        <v>4.3140000000000001</v>
      </c>
      <c r="H89" s="31">
        <v>4.4409999999999998</v>
      </c>
      <c r="I89" s="31">
        <v>4.55</v>
      </c>
      <c r="J89" s="31">
        <v>4.6459999999999999</v>
      </c>
      <c r="K89" s="31">
        <v>4.7320000000000002</v>
      </c>
      <c r="L89" s="31">
        <v>4.8079999999999998</v>
      </c>
      <c r="M89" s="31">
        <v>4.8780000000000001</v>
      </c>
      <c r="N89" s="31">
        <v>4.9420000000000002</v>
      </c>
      <c r="O89" s="31">
        <v>5.0010000000000003</v>
      </c>
      <c r="P89" s="31">
        <v>5.056</v>
      </c>
      <c r="Q89" s="31">
        <v>5.1539999999999999</v>
      </c>
      <c r="R89" s="31">
        <v>5.2409999999999997</v>
      </c>
      <c r="S89" s="31">
        <v>5.3890000000000002</v>
      </c>
      <c r="T89" s="31">
        <v>5.5119999999999996</v>
      </c>
      <c r="U89" s="31">
        <v>5.617</v>
      </c>
      <c r="V89" s="31">
        <v>5.7080000000000002</v>
      </c>
      <c r="W89" s="167">
        <v>5.7889999999999997</v>
      </c>
    </row>
    <row r="90" spans="1:23" x14ac:dyDescent="0.25">
      <c r="A90">
        <v>120</v>
      </c>
      <c r="B90" s="166">
        <v>2.8</v>
      </c>
      <c r="C90" s="31">
        <v>3.3559999999999999</v>
      </c>
      <c r="D90" s="31">
        <v>3.6850000000000001</v>
      </c>
      <c r="E90" s="31">
        <v>3.9169999999999998</v>
      </c>
      <c r="F90" s="31">
        <v>4.0960000000000001</v>
      </c>
      <c r="G90" s="31">
        <v>4.2409999999999997</v>
      </c>
      <c r="H90" s="31">
        <v>4.3630000000000004</v>
      </c>
      <c r="I90" s="31">
        <v>4.468</v>
      </c>
      <c r="J90" s="31">
        <v>4.5599999999999996</v>
      </c>
      <c r="K90" s="31">
        <v>4.641</v>
      </c>
      <c r="L90" s="31">
        <v>4.7140000000000004</v>
      </c>
      <c r="M90" s="31">
        <v>4.7809999999999997</v>
      </c>
      <c r="N90" s="31">
        <v>4.8419999999999996</v>
      </c>
      <c r="O90" s="31">
        <v>4.8979999999999997</v>
      </c>
      <c r="P90" s="31">
        <v>4.95</v>
      </c>
      <c r="Q90" s="31">
        <v>5.0439999999999996</v>
      </c>
      <c r="R90" s="31">
        <v>5.1260000000000003</v>
      </c>
      <c r="S90" s="31">
        <v>5.266</v>
      </c>
      <c r="T90" s="31">
        <v>5.3819999999999997</v>
      </c>
      <c r="U90" s="31">
        <v>5.4809999999999999</v>
      </c>
      <c r="V90" s="31">
        <v>5.5679999999999996</v>
      </c>
      <c r="W90" s="167">
        <v>5.6440000000000001</v>
      </c>
    </row>
    <row r="91" spans="1:23" x14ac:dyDescent="0.25">
      <c r="A91" s="12" t="s">
        <v>115</v>
      </c>
      <c r="B91" s="168">
        <v>2.7719999999999998</v>
      </c>
      <c r="C91" s="218">
        <v>3.3140000000000001</v>
      </c>
      <c r="D91" s="218">
        <v>3.633</v>
      </c>
      <c r="E91" s="218">
        <v>3.8580000000000001</v>
      </c>
      <c r="F91" s="218">
        <v>4.03</v>
      </c>
      <c r="G91" s="218">
        <v>4.17</v>
      </c>
      <c r="H91" s="218">
        <v>4.2859999999999996</v>
      </c>
      <c r="I91" s="218">
        <v>4.3869999999999996</v>
      </c>
      <c r="J91" s="218">
        <v>4.4740000000000002</v>
      </c>
      <c r="K91" s="218">
        <v>4.5519999999999996</v>
      </c>
      <c r="L91" s="218">
        <v>4.6219999999999999</v>
      </c>
      <c r="M91" s="218">
        <v>4.6849999999999996</v>
      </c>
      <c r="N91" s="218">
        <v>4.7430000000000003</v>
      </c>
      <c r="O91" s="218">
        <v>4.7960000000000003</v>
      </c>
      <c r="P91" s="218">
        <v>4.8449999999999998</v>
      </c>
      <c r="Q91" s="218">
        <v>4.9340000000000002</v>
      </c>
      <c r="R91" s="218">
        <v>5.0119999999999996</v>
      </c>
      <c r="S91" s="218">
        <v>5.1440000000000001</v>
      </c>
      <c r="T91" s="218">
        <v>5.2530000000000001</v>
      </c>
      <c r="U91" s="218">
        <v>5.3460000000000001</v>
      </c>
      <c r="V91" s="218">
        <v>5.4269999999999996</v>
      </c>
      <c r="W91" s="169">
        <v>5.4980000000000002</v>
      </c>
    </row>
    <row r="93" spans="1:23" x14ac:dyDescent="0.25">
      <c r="A93" t="s">
        <v>17</v>
      </c>
      <c r="B93">
        <v>5.0000000000000001E-3</v>
      </c>
    </row>
    <row r="94" spans="1:23" x14ac:dyDescent="0.25">
      <c r="B94" t="s">
        <v>55</v>
      </c>
    </row>
    <row r="95" spans="1:23" x14ac:dyDescent="0.25">
      <c r="A95" s="12" t="s">
        <v>37</v>
      </c>
      <c r="B95">
        <v>2</v>
      </c>
      <c r="C95">
        <f>B95+1</f>
        <v>3</v>
      </c>
      <c r="D95">
        <f t="shared" ref="D95:L95" si="3">C95+1</f>
        <v>4</v>
      </c>
      <c r="E95">
        <f t="shared" si="3"/>
        <v>5</v>
      </c>
      <c r="F95">
        <f t="shared" si="3"/>
        <v>6</v>
      </c>
      <c r="G95">
        <f t="shared" si="3"/>
        <v>7</v>
      </c>
      <c r="H95">
        <f t="shared" si="3"/>
        <v>8</v>
      </c>
      <c r="I95">
        <f t="shared" si="3"/>
        <v>9</v>
      </c>
      <c r="J95">
        <f t="shared" si="3"/>
        <v>10</v>
      </c>
      <c r="K95">
        <f t="shared" si="3"/>
        <v>11</v>
      </c>
      <c r="L95">
        <f t="shared" si="3"/>
        <v>12</v>
      </c>
      <c r="M95">
        <v>13</v>
      </c>
      <c r="N95">
        <f>M95+1</f>
        <v>14</v>
      </c>
      <c r="O95">
        <f>N95+1</f>
        <v>15</v>
      </c>
      <c r="P95">
        <f>O95+1</f>
        <v>16</v>
      </c>
      <c r="Q95">
        <f>P95+2</f>
        <v>18</v>
      </c>
      <c r="R95">
        <f>Q95+2</f>
        <v>20</v>
      </c>
      <c r="S95">
        <f>R95+4</f>
        <v>24</v>
      </c>
      <c r="T95">
        <f>S95+4</f>
        <v>28</v>
      </c>
      <c r="U95">
        <f>T95+4</f>
        <v>32</v>
      </c>
      <c r="V95">
        <f>U95+4</f>
        <v>36</v>
      </c>
      <c r="W95">
        <f>V95+4</f>
        <v>40</v>
      </c>
    </row>
    <row r="96" spans="1:23" x14ac:dyDescent="0.25">
      <c r="A96">
        <v>1</v>
      </c>
      <c r="B96" s="3">
        <v>180.1</v>
      </c>
      <c r="C96" s="192">
        <v>270.10000000000002</v>
      </c>
      <c r="D96" s="192">
        <v>328.5</v>
      </c>
      <c r="E96" s="192">
        <v>371.2</v>
      </c>
      <c r="F96" s="192">
        <v>404.4</v>
      </c>
      <c r="G96" s="192">
        <v>431.6</v>
      </c>
      <c r="H96" s="192">
        <v>454.4</v>
      </c>
      <c r="I96" s="212">
        <v>474</v>
      </c>
      <c r="J96" s="212">
        <v>491.1</v>
      </c>
      <c r="K96" s="212">
        <v>506.3</v>
      </c>
      <c r="L96" s="212">
        <v>520</v>
      </c>
      <c r="M96" s="192">
        <v>532.4</v>
      </c>
      <c r="N96" s="192">
        <v>543.6</v>
      </c>
      <c r="O96" s="212">
        <v>554</v>
      </c>
      <c r="P96" s="192">
        <v>563.6</v>
      </c>
      <c r="Q96" s="192">
        <v>580.9</v>
      </c>
      <c r="R96" s="212">
        <v>596</v>
      </c>
      <c r="S96" s="192">
        <v>621.70000000000005</v>
      </c>
      <c r="T96" s="192">
        <v>642.70000000000005</v>
      </c>
      <c r="U96" s="192">
        <v>660.6</v>
      </c>
      <c r="V96" s="212">
        <v>676</v>
      </c>
      <c r="W96" s="5">
        <v>689.6</v>
      </c>
    </row>
    <row r="97" spans="1:23" x14ac:dyDescent="0.25">
      <c r="A97">
        <v>2</v>
      </c>
      <c r="B97" s="107">
        <v>19.93</v>
      </c>
      <c r="C97" s="7">
        <v>26.97</v>
      </c>
      <c r="D97" s="7">
        <v>31.6</v>
      </c>
      <c r="E97" s="7">
        <v>35.020000000000003</v>
      </c>
      <c r="F97" s="7">
        <v>37.729999999999997</v>
      </c>
      <c r="G97" s="7">
        <v>39.950000000000003</v>
      </c>
      <c r="H97" s="7">
        <v>41.83</v>
      </c>
      <c r="I97" s="7">
        <v>43.46</v>
      </c>
      <c r="J97" s="7">
        <v>44.89</v>
      </c>
      <c r="K97" s="7">
        <v>46.16</v>
      </c>
      <c r="L97" s="7">
        <v>47.31</v>
      </c>
      <c r="M97" s="7">
        <v>48.35</v>
      </c>
      <c r="N97" s="7">
        <v>49.3</v>
      </c>
      <c r="O97" s="7">
        <v>50.17</v>
      </c>
      <c r="P97" s="7">
        <v>50.99</v>
      </c>
      <c r="Q97" s="7">
        <v>52.45</v>
      </c>
      <c r="R97" s="7">
        <v>53.74</v>
      </c>
      <c r="S97" s="7">
        <v>55.92</v>
      </c>
      <c r="T97" s="7">
        <v>57.73</v>
      </c>
      <c r="U97" s="7">
        <v>59.26</v>
      </c>
      <c r="V97" s="7">
        <v>60.59</v>
      </c>
      <c r="W97" s="108">
        <v>61.76</v>
      </c>
    </row>
    <row r="98" spans="1:23" x14ac:dyDescent="0.25">
      <c r="A98">
        <v>3</v>
      </c>
      <c r="B98" s="107">
        <v>10.55</v>
      </c>
      <c r="C98" s="29">
        <v>13.5</v>
      </c>
      <c r="D98" s="7">
        <v>15.45</v>
      </c>
      <c r="E98" s="7">
        <v>16.91</v>
      </c>
      <c r="F98" s="7">
        <v>18.059999999999999</v>
      </c>
      <c r="G98" s="7">
        <v>19.010000000000002</v>
      </c>
      <c r="H98" s="7">
        <v>19.829999999999998</v>
      </c>
      <c r="I98" s="7">
        <v>20.53</v>
      </c>
      <c r="J98" s="7">
        <v>21.15</v>
      </c>
      <c r="K98" s="29">
        <v>21.7</v>
      </c>
      <c r="L98" s="29">
        <v>22.2</v>
      </c>
      <c r="M98" s="7">
        <v>22.66</v>
      </c>
      <c r="N98" s="7">
        <v>23.08</v>
      </c>
      <c r="O98" s="7">
        <v>23.46</v>
      </c>
      <c r="P98" s="7">
        <v>23.82</v>
      </c>
      <c r="Q98" s="7">
        <v>24.46</v>
      </c>
      <c r="R98" s="7">
        <v>25.03</v>
      </c>
      <c r="S98" s="29">
        <v>26</v>
      </c>
      <c r="T98" s="29">
        <v>26.8</v>
      </c>
      <c r="U98" s="7">
        <v>27.48</v>
      </c>
      <c r="V98" s="7">
        <v>28.07</v>
      </c>
      <c r="W98" s="145">
        <v>28.6</v>
      </c>
    </row>
    <row r="99" spans="1:23" x14ac:dyDescent="0.25">
      <c r="A99">
        <v>4</v>
      </c>
      <c r="B99" s="107">
        <v>7.9160000000000004</v>
      </c>
      <c r="C99" s="7">
        <v>9.8140000000000001</v>
      </c>
      <c r="D99" s="7">
        <v>11.06</v>
      </c>
      <c r="E99" s="7">
        <v>11.99</v>
      </c>
      <c r="F99" s="7">
        <v>12.74</v>
      </c>
      <c r="G99" s="7">
        <v>13.35</v>
      </c>
      <c r="H99" s="7">
        <v>13.88</v>
      </c>
      <c r="I99" s="7">
        <v>14.33</v>
      </c>
      <c r="J99" s="7">
        <v>14.74</v>
      </c>
      <c r="K99" s="29">
        <v>15.1</v>
      </c>
      <c r="L99" s="29">
        <v>15.42</v>
      </c>
      <c r="M99" s="7">
        <v>15.72</v>
      </c>
      <c r="N99" s="7">
        <v>15.99</v>
      </c>
      <c r="O99" s="7">
        <v>16.239999999999998</v>
      </c>
      <c r="P99" s="7">
        <v>16.48</v>
      </c>
      <c r="Q99" s="29">
        <v>16.899999999999999</v>
      </c>
      <c r="R99" s="7">
        <v>17.28</v>
      </c>
      <c r="S99" s="7">
        <v>17.91</v>
      </c>
      <c r="T99" s="7">
        <v>18.440000000000001</v>
      </c>
      <c r="U99" s="7">
        <v>18.89</v>
      </c>
      <c r="V99" s="7">
        <v>19.28</v>
      </c>
      <c r="W99" s="108">
        <v>19.63</v>
      </c>
    </row>
    <row r="100" spans="1:23" x14ac:dyDescent="0.25">
      <c r="A100">
        <v>5</v>
      </c>
      <c r="B100" s="107">
        <v>6.7510000000000003</v>
      </c>
      <c r="C100" s="7">
        <v>8.1959999999999997</v>
      </c>
      <c r="D100" s="7">
        <v>9.141</v>
      </c>
      <c r="E100" s="7">
        <v>9.8469999999999995</v>
      </c>
      <c r="F100" s="7">
        <v>10.41</v>
      </c>
      <c r="G100" s="7">
        <v>10.88</v>
      </c>
      <c r="H100" s="7">
        <v>11.28</v>
      </c>
      <c r="I100" s="7">
        <v>11.63</v>
      </c>
      <c r="J100" s="7">
        <v>11.93</v>
      </c>
      <c r="K100" s="7">
        <v>12.21</v>
      </c>
      <c r="L100" s="7">
        <v>12.46</v>
      </c>
      <c r="M100" s="7">
        <v>12.69</v>
      </c>
      <c r="N100" s="29">
        <v>12.9</v>
      </c>
      <c r="O100" s="7">
        <v>13.09</v>
      </c>
      <c r="P100" s="7">
        <v>13.27</v>
      </c>
      <c r="Q100" s="29">
        <v>13.6</v>
      </c>
      <c r="R100" s="7">
        <v>13.89</v>
      </c>
      <c r="S100" s="7">
        <v>14.38</v>
      </c>
      <c r="T100" s="7">
        <v>14.79</v>
      </c>
      <c r="U100" s="7">
        <v>15.13</v>
      </c>
      <c r="V100" s="7">
        <v>15.44</v>
      </c>
      <c r="W100" s="108">
        <v>15.71</v>
      </c>
    </row>
    <row r="101" spans="1:23" x14ac:dyDescent="0.25">
      <c r="A101">
        <v>6</v>
      </c>
      <c r="B101" s="107">
        <v>6.1050000000000004</v>
      </c>
      <c r="C101" s="7">
        <v>7.306</v>
      </c>
      <c r="D101" s="7">
        <v>8.0879999999999992</v>
      </c>
      <c r="E101" s="31">
        <v>8.67</v>
      </c>
      <c r="F101" s="7">
        <v>9.1349999999999998</v>
      </c>
      <c r="G101" s="7">
        <v>9.5220000000000002</v>
      </c>
      <c r="H101" s="7">
        <v>9.8520000000000003</v>
      </c>
      <c r="I101" s="7">
        <v>10.14</v>
      </c>
      <c r="J101" s="29">
        <v>10.4</v>
      </c>
      <c r="K101" s="7">
        <v>10.63</v>
      </c>
      <c r="L101" s="7">
        <v>10.83</v>
      </c>
      <c r="M101" s="7">
        <v>11.02</v>
      </c>
      <c r="N101" s="29">
        <v>11.2</v>
      </c>
      <c r="O101" s="7">
        <v>11.36</v>
      </c>
      <c r="P101" s="7">
        <v>11.51</v>
      </c>
      <c r="Q101" s="7">
        <v>11.78</v>
      </c>
      <c r="R101" s="7">
        <v>12.02</v>
      </c>
      <c r="S101" s="7">
        <v>12.43</v>
      </c>
      <c r="T101" s="7">
        <v>12.77</v>
      </c>
      <c r="U101" s="7">
        <v>13.06</v>
      </c>
      <c r="V101" s="7">
        <v>13.32</v>
      </c>
      <c r="W101" s="108">
        <v>13.54</v>
      </c>
    </row>
    <row r="102" spans="1:23" x14ac:dyDescent="0.25">
      <c r="A102">
        <v>7</v>
      </c>
      <c r="B102" s="166">
        <v>5.6989999999999998</v>
      </c>
      <c r="C102" s="31">
        <v>6.75</v>
      </c>
      <c r="D102" s="7">
        <v>7.4290000000000003</v>
      </c>
      <c r="E102" s="7">
        <v>7.9349999999999996</v>
      </c>
      <c r="F102" s="7">
        <v>8.3390000000000004</v>
      </c>
      <c r="G102" s="7">
        <v>8.6739999999999995</v>
      </c>
      <c r="H102" s="7">
        <v>8.9610000000000003</v>
      </c>
      <c r="I102" s="7">
        <v>9.2110000000000003</v>
      </c>
      <c r="J102" s="7">
        <v>9.4329999999999998</v>
      </c>
      <c r="K102" s="7">
        <v>9.6319999999999997</v>
      </c>
      <c r="L102" s="7">
        <v>9.8119999999999994</v>
      </c>
      <c r="M102" s="7">
        <v>9.9770000000000003</v>
      </c>
      <c r="N102" s="7">
        <v>10.130000000000001</v>
      </c>
      <c r="O102" s="7">
        <v>10.27</v>
      </c>
      <c r="P102" s="29">
        <v>10.4</v>
      </c>
      <c r="Q102" s="7">
        <v>10.64</v>
      </c>
      <c r="R102" s="7">
        <v>10.85</v>
      </c>
      <c r="S102" s="7">
        <v>11.21</v>
      </c>
      <c r="T102" s="29">
        <v>11.5</v>
      </c>
      <c r="U102" s="7">
        <v>11.76</v>
      </c>
      <c r="V102" s="7">
        <v>11.99</v>
      </c>
      <c r="W102" s="108">
        <v>12.18</v>
      </c>
    </row>
    <row r="103" spans="1:23" x14ac:dyDescent="0.25">
      <c r="A103">
        <v>8</v>
      </c>
      <c r="B103" s="166">
        <v>5.42</v>
      </c>
      <c r="C103" s="31">
        <v>6.37</v>
      </c>
      <c r="D103" s="7">
        <v>6.9809999999999999</v>
      </c>
      <c r="E103" s="7">
        <v>7.4349999999999996</v>
      </c>
      <c r="F103" s="7">
        <v>7.7969999999999997</v>
      </c>
      <c r="G103" s="7">
        <v>8.0969999999999995</v>
      </c>
      <c r="H103" s="7">
        <v>8.3539999999999992</v>
      </c>
      <c r="I103" s="7">
        <v>8.5779999999999994</v>
      </c>
      <c r="J103" s="7">
        <v>8.7769999999999992</v>
      </c>
      <c r="K103" s="7">
        <v>8.9550000000000001</v>
      </c>
      <c r="L103" s="7">
        <v>9.1170000000000009</v>
      </c>
      <c r="M103" s="7">
        <v>9.2650000000000006</v>
      </c>
      <c r="N103" s="7">
        <v>9.4009999999999998</v>
      </c>
      <c r="O103" s="7">
        <v>9.5269999999999992</v>
      </c>
      <c r="P103" s="7">
        <v>9.6440000000000001</v>
      </c>
      <c r="Q103" s="7">
        <v>9.8569999999999993</v>
      </c>
      <c r="R103" s="7">
        <v>10.039999999999999</v>
      </c>
      <c r="S103" s="7">
        <v>10.37</v>
      </c>
      <c r="T103" s="7">
        <v>10.64</v>
      </c>
      <c r="U103" s="7">
        <v>10.87</v>
      </c>
      <c r="V103" s="7">
        <v>11.07</v>
      </c>
      <c r="W103" s="108">
        <v>11.25</v>
      </c>
    </row>
    <row r="104" spans="1:23" x14ac:dyDescent="0.25">
      <c r="A104">
        <v>9</v>
      </c>
      <c r="B104" s="107">
        <v>5.218</v>
      </c>
      <c r="C104" s="7">
        <v>6.0960000000000001</v>
      </c>
      <c r="D104" s="7">
        <v>6.657</v>
      </c>
      <c r="E104" s="7">
        <v>7.0739999999999998</v>
      </c>
      <c r="F104" s="7">
        <v>7.4050000000000002</v>
      </c>
      <c r="G104" s="31">
        <v>7.68</v>
      </c>
      <c r="H104" s="7">
        <v>7.915</v>
      </c>
      <c r="I104" s="31">
        <v>8.1199999999999992</v>
      </c>
      <c r="J104" s="7">
        <v>8.3030000000000008</v>
      </c>
      <c r="K104" s="7">
        <v>8.4659999999999993</v>
      </c>
      <c r="L104" s="7">
        <v>8.6140000000000008</v>
      </c>
      <c r="M104" s="7">
        <v>8.7490000000000006</v>
      </c>
      <c r="N104" s="7">
        <v>8.8740000000000006</v>
      </c>
      <c r="O104" s="31">
        <v>8.99</v>
      </c>
      <c r="P104" s="7">
        <v>9.0969999999999995</v>
      </c>
      <c r="Q104" s="7">
        <v>9.2919999999999998</v>
      </c>
      <c r="R104" s="7">
        <v>9.4649999999999999</v>
      </c>
      <c r="S104" s="7">
        <v>9.7609999999999992</v>
      </c>
      <c r="T104" s="7">
        <v>10.01</v>
      </c>
      <c r="U104" s="7">
        <v>10.220000000000001</v>
      </c>
      <c r="V104" s="7">
        <v>10.41</v>
      </c>
      <c r="W104" s="108">
        <v>10.58</v>
      </c>
    </row>
    <row r="105" spans="1:23" x14ac:dyDescent="0.25">
      <c r="A105">
        <v>10</v>
      </c>
      <c r="B105" s="107">
        <v>5.0650000000000004</v>
      </c>
      <c r="C105" s="7">
        <v>5.8879999999999999</v>
      </c>
      <c r="D105" s="7">
        <v>6.4119999999999999</v>
      </c>
      <c r="E105" s="31">
        <v>6.8</v>
      </c>
      <c r="F105" s="7">
        <v>7.109</v>
      </c>
      <c r="G105" s="31">
        <v>7.3650000000000002</v>
      </c>
      <c r="H105" s="7">
        <v>7.5839999999999996</v>
      </c>
      <c r="I105" s="7">
        <v>7.7750000000000004</v>
      </c>
      <c r="J105" s="7">
        <v>7.944</v>
      </c>
      <c r="K105" s="7">
        <v>8.0960000000000001</v>
      </c>
      <c r="L105" s="7">
        <v>8.234</v>
      </c>
      <c r="M105" s="31">
        <v>8.36</v>
      </c>
      <c r="N105" s="7">
        <v>8.4760000000000009</v>
      </c>
      <c r="O105" s="7">
        <v>8.5830000000000002</v>
      </c>
      <c r="P105" s="7">
        <v>8.6829999999999998</v>
      </c>
      <c r="Q105" s="7">
        <v>8.8650000000000002</v>
      </c>
      <c r="R105" s="7">
        <v>9.0259999999999998</v>
      </c>
      <c r="S105" s="7">
        <v>9.3019999999999996</v>
      </c>
      <c r="T105" s="7">
        <v>9.532</v>
      </c>
      <c r="U105" s="31">
        <v>9.73</v>
      </c>
      <c r="V105" s="7">
        <v>9.9039999999999999</v>
      </c>
      <c r="W105" s="108">
        <v>10.06</v>
      </c>
    </row>
    <row r="106" spans="1:23" x14ac:dyDescent="0.25">
      <c r="A106">
        <v>11</v>
      </c>
      <c r="B106" s="107">
        <v>4.9450000000000003</v>
      </c>
      <c r="C106" s="7">
        <v>5.7270000000000003</v>
      </c>
      <c r="D106" s="7">
        <v>6.2220000000000004</v>
      </c>
      <c r="E106" s="7">
        <v>6.5880000000000001</v>
      </c>
      <c r="F106" s="7">
        <v>6.8780000000000001</v>
      </c>
      <c r="G106" s="31">
        <v>7.1189999999999998</v>
      </c>
      <c r="H106" s="7">
        <v>7.3250000000000002</v>
      </c>
      <c r="I106" s="7">
        <v>7.5049999999999999</v>
      </c>
      <c r="J106" s="7">
        <v>7.6639999999999997</v>
      </c>
      <c r="K106" s="7">
        <v>7.8070000000000004</v>
      </c>
      <c r="L106" s="7">
        <v>7.9370000000000003</v>
      </c>
      <c r="M106" s="7">
        <v>8.0549999999999997</v>
      </c>
      <c r="N106" s="7">
        <v>8.1639999999999997</v>
      </c>
      <c r="O106" s="7">
        <v>8.2650000000000006</v>
      </c>
      <c r="P106" s="7">
        <v>8.359</v>
      </c>
      <c r="Q106" s="31">
        <v>8.5299999999999994</v>
      </c>
      <c r="R106" s="7">
        <v>8.6820000000000004</v>
      </c>
      <c r="S106" s="7">
        <v>8.9410000000000007</v>
      </c>
      <c r="T106" s="7">
        <v>9.1590000000000007</v>
      </c>
      <c r="U106" s="7">
        <v>9.3450000000000006</v>
      </c>
      <c r="V106" s="7">
        <v>9.5090000000000003</v>
      </c>
      <c r="W106" s="108">
        <v>9.6539999999999999</v>
      </c>
    </row>
    <row r="107" spans="1:23" x14ac:dyDescent="0.25">
      <c r="A107">
        <v>12</v>
      </c>
      <c r="B107" s="107">
        <v>4.8490000000000002</v>
      </c>
      <c r="C107" s="7">
        <v>5.5970000000000004</v>
      </c>
      <c r="D107" s="7">
        <v>6.0679999999999996</v>
      </c>
      <c r="E107" s="7">
        <v>6.4160000000000004</v>
      </c>
      <c r="F107" s="7">
        <v>6.6929999999999996</v>
      </c>
      <c r="G107" s="31">
        <v>6.9219999999999997</v>
      </c>
      <c r="H107" s="7">
        <v>7.1180000000000003</v>
      </c>
      <c r="I107" s="7">
        <v>7.2880000000000003</v>
      </c>
      <c r="J107" s="7">
        <v>7.4390000000000001</v>
      </c>
      <c r="K107" s="7">
        <v>7.5750000000000002</v>
      </c>
      <c r="L107" s="7">
        <v>7.6970000000000001</v>
      </c>
      <c r="M107" s="31">
        <v>7.81</v>
      </c>
      <c r="N107" s="7">
        <v>7.9139999999999997</v>
      </c>
      <c r="O107" s="7">
        <v>8.0090000000000003</v>
      </c>
      <c r="P107" s="7">
        <v>8.0990000000000002</v>
      </c>
      <c r="Q107" s="31">
        <v>8.2609999999999992</v>
      </c>
      <c r="R107" s="7">
        <v>8.4049999999999994</v>
      </c>
      <c r="S107" s="7">
        <v>8.6519999999999992</v>
      </c>
      <c r="T107" s="7">
        <v>8.8580000000000005</v>
      </c>
      <c r="U107" s="7">
        <v>9.0359999999999996</v>
      </c>
      <c r="V107" s="7">
        <v>9.1910000000000007</v>
      </c>
      <c r="W107" s="108">
        <v>9.3279999999999994</v>
      </c>
    </row>
    <row r="108" spans="1:23" x14ac:dyDescent="0.25">
      <c r="A108">
        <v>13</v>
      </c>
      <c r="B108" s="166">
        <v>4.7699999999999996</v>
      </c>
      <c r="C108" s="31">
        <v>5.49</v>
      </c>
      <c r="D108" s="7">
        <v>5.9429999999999996</v>
      </c>
      <c r="E108" s="7">
        <v>6.2770000000000001</v>
      </c>
      <c r="F108" s="7">
        <v>6.5410000000000004</v>
      </c>
      <c r="G108" s="31">
        <v>6.76</v>
      </c>
      <c r="H108" s="7">
        <v>6.9470000000000001</v>
      </c>
      <c r="I108" s="7">
        <v>7.1109999999999998</v>
      </c>
      <c r="J108" s="7">
        <v>7.2549999999999999</v>
      </c>
      <c r="K108" s="7">
        <v>7.3840000000000003</v>
      </c>
      <c r="L108" s="7">
        <v>7.5019999999999998</v>
      </c>
      <c r="M108" s="7">
        <v>7.609</v>
      </c>
      <c r="N108" s="7">
        <v>7.7080000000000002</v>
      </c>
      <c r="O108" s="31">
        <v>7.8</v>
      </c>
      <c r="P108" s="7">
        <v>7.8860000000000001</v>
      </c>
      <c r="Q108" s="31">
        <v>8.0399999999999991</v>
      </c>
      <c r="R108" s="7">
        <v>8.1780000000000008</v>
      </c>
      <c r="S108" s="7">
        <v>8.4139999999999997</v>
      </c>
      <c r="T108" s="7">
        <v>8.6110000000000007</v>
      </c>
      <c r="U108" s="7">
        <v>8.7810000000000006</v>
      </c>
      <c r="V108" s="7">
        <v>8.9290000000000003</v>
      </c>
      <c r="W108" s="108">
        <v>9.0609999999999999</v>
      </c>
    </row>
    <row r="109" spans="1:23" x14ac:dyDescent="0.25">
      <c r="A109">
        <v>14</v>
      </c>
      <c r="B109" s="107">
        <v>4.7039999999999997</v>
      </c>
      <c r="C109" s="7">
        <v>5.4009999999999998</v>
      </c>
      <c r="D109" s="7">
        <v>5.8380000000000001</v>
      </c>
      <c r="E109" s="31">
        <v>6.16</v>
      </c>
      <c r="F109" s="7">
        <v>6.4139999999999997</v>
      </c>
      <c r="G109" s="7">
        <v>6.6260000000000003</v>
      </c>
      <c r="H109" s="7">
        <v>6.8049999999999997</v>
      </c>
      <c r="I109" s="7">
        <v>6.9619999999999997</v>
      </c>
      <c r="J109" s="7">
        <v>7.101</v>
      </c>
      <c r="K109" s="7">
        <v>7.2249999999999996</v>
      </c>
      <c r="L109" s="7">
        <v>7.3380000000000001</v>
      </c>
      <c r="M109" s="7">
        <v>7.4420000000000002</v>
      </c>
      <c r="N109" s="7">
        <v>7.5369999999999999</v>
      </c>
      <c r="O109" s="7">
        <v>7.625</v>
      </c>
      <c r="P109" s="7">
        <v>7.7069999999999999</v>
      </c>
      <c r="Q109" s="7">
        <v>7.8559999999999999</v>
      </c>
      <c r="R109" s="7">
        <v>7.9880000000000004</v>
      </c>
      <c r="S109" s="7">
        <v>8.2149999999999999</v>
      </c>
      <c r="T109" s="7">
        <v>8.4039999999999999</v>
      </c>
      <c r="U109" s="7">
        <v>8.5679999999999996</v>
      </c>
      <c r="V109" s="31">
        <v>8.7100000000000009</v>
      </c>
      <c r="W109" s="108">
        <v>8.8369999999999997</v>
      </c>
    </row>
    <row r="110" spans="1:23" x14ac:dyDescent="0.25">
      <c r="A110">
        <v>15</v>
      </c>
      <c r="B110" s="107">
        <v>4.6470000000000002</v>
      </c>
      <c r="C110" s="7">
        <v>5.3250000000000002</v>
      </c>
      <c r="D110" s="31">
        <v>5.75</v>
      </c>
      <c r="E110" s="7">
        <v>6.0609999999999999</v>
      </c>
      <c r="F110" s="7">
        <v>6.3079999999999998</v>
      </c>
      <c r="G110" s="7">
        <v>6.5110000000000001</v>
      </c>
      <c r="H110" s="7">
        <v>6.6849999999999996</v>
      </c>
      <c r="I110" s="7">
        <v>6.8369999999999997</v>
      </c>
      <c r="J110" s="7">
        <v>6.9710000000000001</v>
      </c>
      <c r="K110" s="7">
        <v>7.0910000000000002</v>
      </c>
      <c r="L110" s="31">
        <v>7.2</v>
      </c>
      <c r="M110" s="31">
        <v>7.3</v>
      </c>
      <c r="N110" s="7">
        <v>7.3920000000000003</v>
      </c>
      <c r="O110" s="7">
        <v>7.4770000000000003</v>
      </c>
      <c r="P110" s="7">
        <v>7.556</v>
      </c>
      <c r="Q110" s="7">
        <v>7.6989999999999998</v>
      </c>
      <c r="R110" s="7">
        <v>7.827</v>
      </c>
      <c r="S110" s="7">
        <v>8.0459999999999994</v>
      </c>
      <c r="T110" s="7">
        <v>8.2289999999999992</v>
      </c>
      <c r="U110" s="7">
        <v>8.3870000000000005</v>
      </c>
      <c r="V110" s="7">
        <v>8.5239999999999991</v>
      </c>
      <c r="W110" s="108">
        <v>8.6470000000000002</v>
      </c>
    </row>
    <row r="111" spans="1:23" x14ac:dyDescent="0.25">
      <c r="A111">
        <v>16</v>
      </c>
      <c r="B111" s="107">
        <v>4.5990000000000002</v>
      </c>
      <c r="C111" s="7">
        <v>5.2610000000000001</v>
      </c>
      <c r="D111" s="31">
        <v>5.6740000000000004</v>
      </c>
      <c r="E111" s="7">
        <v>5.9770000000000003</v>
      </c>
      <c r="F111" s="7">
        <v>6.2160000000000002</v>
      </c>
      <c r="G111" s="7">
        <v>6.4130000000000003</v>
      </c>
      <c r="H111" s="7">
        <v>6.5819999999999999</v>
      </c>
      <c r="I111" s="7">
        <v>6.7290000000000001</v>
      </c>
      <c r="J111" s="7">
        <v>6.859</v>
      </c>
      <c r="K111" s="7">
        <v>6.976</v>
      </c>
      <c r="L111" s="7">
        <v>7.0810000000000004</v>
      </c>
      <c r="M111" s="7">
        <v>7.1779999999999999</v>
      </c>
      <c r="N111" s="7">
        <v>7.2670000000000003</v>
      </c>
      <c r="O111" s="7">
        <v>7.3490000000000002</v>
      </c>
      <c r="P111" s="7">
        <v>7.4260000000000002</v>
      </c>
      <c r="Q111" s="7">
        <v>7.5659999999999998</v>
      </c>
      <c r="R111" s="7">
        <v>7.6890000000000001</v>
      </c>
      <c r="S111" s="7">
        <v>7.9009999999999998</v>
      </c>
      <c r="T111" s="7">
        <v>8.0779999999999994</v>
      </c>
      <c r="U111" s="7">
        <v>8.2309999999999999</v>
      </c>
      <c r="V111" s="7">
        <v>8.3650000000000002</v>
      </c>
      <c r="W111" s="108">
        <v>8.4830000000000005</v>
      </c>
    </row>
    <row r="112" spans="1:23" x14ac:dyDescent="0.25">
      <c r="A112">
        <v>17</v>
      </c>
      <c r="B112" s="107">
        <v>4.5570000000000004</v>
      </c>
      <c r="C112" s="7">
        <v>5.2050000000000001</v>
      </c>
      <c r="D112" s="31">
        <v>5.6079999999999997</v>
      </c>
      <c r="E112" s="7">
        <v>5.9029999999999996</v>
      </c>
      <c r="F112" s="7">
        <v>6.1360000000000001</v>
      </c>
      <c r="G112" s="7">
        <v>6.3289999999999997</v>
      </c>
      <c r="H112" s="7">
        <v>6.4930000000000003</v>
      </c>
      <c r="I112" s="7">
        <v>6.6360000000000001</v>
      </c>
      <c r="J112" s="7">
        <v>6.7629999999999999</v>
      </c>
      <c r="K112" s="7">
        <v>6.8760000000000003</v>
      </c>
      <c r="L112" s="7">
        <v>6.9790000000000001</v>
      </c>
      <c r="M112" s="7">
        <v>7.0720000000000001</v>
      </c>
      <c r="N112" s="7">
        <v>7.1589999999999998</v>
      </c>
      <c r="O112" s="7">
        <v>7.2389999999999999</v>
      </c>
      <c r="P112" s="7">
        <v>7.3140000000000001</v>
      </c>
      <c r="Q112" s="7">
        <v>7.4489999999999998</v>
      </c>
      <c r="R112" s="7">
        <v>7.569</v>
      </c>
      <c r="S112" s="7">
        <v>7.7750000000000004</v>
      </c>
      <c r="T112" s="7">
        <v>7.9480000000000004</v>
      </c>
      <c r="U112" s="7">
        <v>8.0960000000000001</v>
      </c>
      <c r="V112" s="7">
        <v>8.2260000000000009</v>
      </c>
      <c r="W112" s="108">
        <v>8.3409999999999993</v>
      </c>
    </row>
    <row r="113" spans="1:23" x14ac:dyDescent="0.25">
      <c r="A113">
        <v>18</v>
      </c>
      <c r="B113" s="107">
        <v>4.5209999999999999</v>
      </c>
      <c r="C113" s="7">
        <v>5.1559999999999997</v>
      </c>
      <c r="D113" s="31">
        <v>5.55</v>
      </c>
      <c r="E113" s="7">
        <v>5.8390000000000004</v>
      </c>
      <c r="F113" s="7">
        <v>6.0670000000000002</v>
      </c>
      <c r="G113" s="7">
        <v>6.2549999999999999</v>
      </c>
      <c r="H113" s="7">
        <v>6.415</v>
      </c>
      <c r="I113" s="7">
        <v>6.5540000000000003</v>
      </c>
      <c r="J113" s="7">
        <v>6.6779999999999999</v>
      </c>
      <c r="K113" s="7">
        <v>6.7880000000000003</v>
      </c>
      <c r="L113" s="7">
        <v>6.8879999999999999</v>
      </c>
      <c r="M113" s="260">
        <v>6980</v>
      </c>
      <c r="N113" s="7">
        <v>7.0640000000000001</v>
      </c>
      <c r="O113" s="7">
        <v>7.1420000000000003</v>
      </c>
      <c r="P113" s="7">
        <v>7.2149999999999999</v>
      </c>
      <c r="Q113" s="7">
        <v>7.3470000000000004</v>
      </c>
      <c r="R113" s="7">
        <v>7.4640000000000004</v>
      </c>
      <c r="S113" s="7">
        <v>7.665</v>
      </c>
      <c r="T113" s="7">
        <v>7.8330000000000002</v>
      </c>
      <c r="U113" s="7">
        <v>7.9779999999999998</v>
      </c>
      <c r="V113" s="7">
        <v>8.1039999999999992</v>
      </c>
      <c r="W113" s="108">
        <v>8.2170000000000005</v>
      </c>
    </row>
    <row r="114" spans="1:23" x14ac:dyDescent="0.25">
      <c r="A114">
        <v>19</v>
      </c>
      <c r="B114" s="166">
        <v>4.4880000000000004</v>
      </c>
      <c r="C114" s="31">
        <v>5.1130000000000004</v>
      </c>
      <c r="D114" s="31">
        <v>5.5</v>
      </c>
      <c r="E114" s="7">
        <v>5.7830000000000004</v>
      </c>
      <c r="F114" s="7">
        <v>6.0049999999999999</v>
      </c>
      <c r="G114" s="7">
        <v>6.1890000000000001</v>
      </c>
      <c r="H114" s="7">
        <v>6.3460000000000001</v>
      </c>
      <c r="I114" s="7">
        <v>6.4820000000000002</v>
      </c>
      <c r="J114" s="7">
        <v>6.6029999999999998</v>
      </c>
      <c r="K114" s="7">
        <v>6.7110000000000003</v>
      </c>
      <c r="L114" s="7">
        <v>6.8090000000000002</v>
      </c>
      <c r="M114" s="7">
        <v>6.8979999999999997</v>
      </c>
      <c r="N114" s="7">
        <v>6.9809999999999999</v>
      </c>
      <c r="O114" s="7">
        <v>7.0570000000000004</v>
      </c>
      <c r="P114" s="7">
        <v>7.1280000000000001</v>
      </c>
      <c r="Q114" s="7">
        <v>7.2569999999999997</v>
      </c>
      <c r="R114" s="7">
        <v>7.3719999999999999</v>
      </c>
      <c r="S114" s="7">
        <v>7.5679999999999996</v>
      </c>
      <c r="T114" s="7">
        <v>7.7320000000000002</v>
      </c>
      <c r="U114" s="7">
        <v>7.8730000000000002</v>
      </c>
      <c r="V114" s="7">
        <v>7.9960000000000004</v>
      </c>
      <c r="W114" s="108">
        <v>8.1059999999999999</v>
      </c>
    </row>
    <row r="115" spans="1:23" x14ac:dyDescent="0.25">
      <c r="A115">
        <v>20</v>
      </c>
      <c r="B115" s="166">
        <v>4.46</v>
      </c>
      <c r="C115" s="31">
        <v>5.0739999999999998</v>
      </c>
      <c r="D115" s="31">
        <v>5.4550000000000001</v>
      </c>
      <c r="E115" s="7">
        <v>5.7320000000000002</v>
      </c>
      <c r="F115" s="7">
        <v>5.9509999999999996</v>
      </c>
      <c r="G115" s="7">
        <v>6.1310000000000002</v>
      </c>
      <c r="H115" s="7">
        <v>6.2850000000000001</v>
      </c>
      <c r="I115" s="7">
        <v>6.4180000000000001</v>
      </c>
      <c r="J115" s="7">
        <v>6.5369999999999999</v>
      </c>
      <c r="K115" s="7">
        <v>6.6420000000000003</v>
      </c>
      <c r="L115" s="7">
        <v>6.7380000000000004</v>
      </c>
      <c r="M115" s="7">
        <v>6.8259999999999996</v>
      </c>
      <c r="N115" s="7">
        <v>6.907</v>
      </c>
      <c r="O115" s="7">
        <v>6.9809999999999999</v>
      </c>
      <c r="P115" s="7">
        <v>7.0510000000000002</v>
      </c>
      <c r="Q115" s="7">
        <v>7.1769999999999996</v>
      </c>
      <c r="R115" s="7">
        <v>7.2889999999999997</v>
      </c>
      <c r="S115" s="7">
        <v>7.4809999999999999</v>
      </c>
      <c r="T115" s="7">
        <v>7.6420000000000003</v>
      </c>
      <c r="U115" s="31">
        <v>7.78</v>
      </c>
      <c r="V115" s="7">
        <v>7.9009999999999998</v>
      </c>
      <c r="W115" s="108">
        <v>8.0079999999999991</v>
      </c>
    </row>
    <row r="116" spans="1:23" x14ac:dyDescent="0.25">
      <c r="A116">
        <v>24</v>
      </c>
      <c r="B116" s="107">
        <v>4.3710000000000004</v>
      </c>
      <c r="C116" s="7">
        <v>4.9550000000000001</v>
      </c>
      <c r="D116" s="7">
        <v>5.3150000000000004</v>
      </c>
      <c r="E116" s="7">
        <v>5.577</v>
      </c>
      <c r="F116" s="7">
        <v>5.7830000000000004</v>
      </c>
      <c r="G116" s="7">
        <v>5.952</v>
      </c>
      <c r="H116" s="7">
        <v>6.0960000000000001</v>
      </c>
      <c r="I116" s="7">
        <v>6.2210000000000001</v>
      </c>
      <c r="J116" s="7">
        <v>6.3319999999999999</v>
      </c>
      <c r="K116" s="31">
        <v>6.431</v>
      </c>
      <c r="L116" s="31">
        <v>6.52</v>
      </c>
      <c r="M116" s="7">
        <v>6.6020000000000003</v>
      </c>
      <c r="N116" s="7">
        <v>6.6769999999999996</v>
      </c>
      <c r="O116" s="7">
        <v>6.7469999999999999</v>
      </c>
      <c r="P116" s="31">
        <v>6.8120000000000003</v>
      </c>
      <c r="Q116" s="31">
        <v>6.93</v>
      </c>
      <c r="R116" s="31">
        <v>7.0339999999999998</v>
      </c>
      <c r="S116" s="7">
        <v>7.2130000000000001</v>
      </c>
      <c r="T116" s="7">
        <v>7.3620000000000001</v>
      </c>
      <c r="U116" s="7">
        <v>7.4909999999999997</v>
      </c>
      <c r="V116" s="7">
        <v>7.6029999999999998</v>
      </c>
      <c r="W116" s="108">
        <v>7.7039999999999997</v>
      </c>
    </row>
    <row r="117" spans="1:23" x14ac:dyDescent="0.25">
      <c r="A117">
        <v>30</v>
      </c>
      <c r="B117" s="107">
        <v>4.2850000000000001</v>
      </c>
      <c r="C117" s="7">
        <v>4.8410000000000002</v>
      </c>
      <c r="D117" s="7">
        <v>5.181</v>
      </c>
      <c r="E117" s="7">
        <v>5.4279999999999999</v>
      </c>
      <c r="F117" s="7">
        <v>5.6210000000000004</v>
      </c>
      <c r="G117" s="31">
        <v>5.78</v>
      </c>
      <c r="H117" s="7">
        <v>5.9139999999999997</v>
      </c>
      <c r="I117" s="7">
        <v>6.0309999999999997</v>
      </c>
      <c r="J117" s="7">
        <v>6.1349999999999998</v>
      </c>
      <c r="K117" s="31">
        <v>6.2270000000000003</v>
      </c>
      <c r="L117" s="31">
        <v>6.31</v>
      </c>
      <c r="M117" s="7">
        <v>6.3869999999999996</v>
      </c>
      <c r="N117" s="7">
        <v>6.4560000000000004</v>
      </c>
      <c r="O117" s="7">
        <v>6.5209999999999999</v>
      </c>
      <c r="P117" s="31">
        <v>6.5810000000000004</v>
      </c>
      <c r="Q117" s="31">
        <v>6.6909999999999998</v>
      </c>
      <c r="R117" s="31">
        <v>6.7880000000000003</v>
      </c>
      <c r="S117" s="7">
        <v>6.9539999999999997</v>
      </c>
      <c r="T117" s="7">
        <v>7.093</v>
      </c>
      <c r="U117" s="7">
        <v>7.2119999999999997</v>
      </c>
      <c r="V117" s="7">
        <v>7.3159999999999998</v>
      </c>
      <c r="W117" s="108">
        <v>7.4089999999999998</v>
      </c>
    </row>
    <row r="118" spans="1:23" x14ac:dyDescent="0.25">
      <c r="A118">
        <v>40</v>
      </c>
      <c r="B118" s="107">
        <v>4.202</v>
      </c>
      <c r="C118" s="7">
        <v>4.7309999999999999</v>
      </c>
      <c r="D118" s="7">
        <v>5.0529999999999999</v>
      </c>
      <c r="E118" s="7">
        <v>5.2839999999999998</v>
      </c>
      <c r="F118" s="7">
        <v>5.4649999999999999</v>
      </c>
      <c r="G118" s="7">
        <v>5.6139999999999999</v>
      </c>
      <c r="H118" s="7">
        <v>5.7389999999999999</v>
      </c>
      <c r="I118" s="7">
        <v>5.8479999999999999</v>
      </c>
      <c r="J118" s="7">
        <v>5.944</v>
      </c>
      <c r="K118" s="31">
        <v>6.03</v>
      </c>
      <c r="L118" s="31">
        <v>6.1079999999999997</v>
      </c>
      <c r="M118" s="7">
        <v>6.1790000000000003</v>
      </c>
      <c r="N118" s="7">
        <v>6.2439999999999998</v>
      </c>
      <c r="O118" s="7">
        <v>6.3040000000000003</v>
      </c>
      <c r="P118" s="31">
        <v>6.36</v>
      </c>
      <c r="Q118" s="31">
        <v>6.4610000000000003</v>
      </c>
      <c r="R118" s="31">
        <v>6.55</v>
      </c>
      <c r="S118" s="7">
        <v>6.7039999999999997</v>
      </c>
      <c r="T118" s="7">
        <v>6.8319999999999999</v>
      </c>
      <c r="U118" s="7">
        <v>6.9420000000000002</v>
      </c>
      <c r="V118" s="7">
        <v>7.0380000000000003</v>
      </c>
      <c r="W118" s="108">
        <v>7.1230000000000002</v>
      </c>
    </row>
    <row r="119" spans="1:23" x14ac:dyDescent="0.25">
      <c r="A119">
        <v>60</v>
      </c>
      <c r="B119" s="107">
        <v>4.1219999999999999</v>
      </c>
      <c r="C119" s="7">
        <v>4.625</v>
      </c>
      <c r="D119" s="7">
        <v>4.9279999999999999</v>
      </c>
      <c r="E119" s="7">
        <v>5.1459999999999999</v>
      </c>
      <c r="F119" s="7">
        <v>5.3159999999999998</v>
      </c>
      <c r="G119" s="7">
        <v>5.4539999999999997</v>
      </c>
      <c r="H119" s="7">
        <v>5.5709999999999997</v>
      </c>
      <c r="I119" s="7">
        <v>5.673</v>
      </c>
      <c r="J119" s="7">
        <v>5.7619999999999996</v>
      </c>
      <c r="K119" s="31">
        <v>5.8410000000000002</v>
      </c>
      <c r="L119" s="31">
        <v>5.9130000000000003</v>
      </c>
      <c r="M119" s="7">
        <v>5.9790000000000001</v>
      </c>
      <c r="N119" s="7">
        <v>6.0389999999999997</v>
      </c>
      <c r="O119" s="7">
        <v>6.0940000000000003</v>
      </c>
      <c r="P119" s="31">
        <v>6.1459999999999999</v>
      </c>
      <c r="Q119" s="31">
        <v>6.2389999999999999</v>
      </c>
      <c r="R119" s="31">
        <v>6.3209999999999997</v>
      </c>
      <c r="S119" s="7">
        <v>6.4619999999999997</v>
      </c>
      <c r="T119" s="31">
        <v>6.58</v>
      </c>
      <c r="U119" s="7">
        <v>6.681</v>
      </c>
      <c r="V119" s="7">
        <v>6.7690000000000001</v>
      </c>
      <c r="W119" s="108">
        <v>6.8460000000000001</v>
      </c>
    </row>
    <row r="120" spans="1:23" x14ac:dyDescent="0.25">
      <c r="A120">
        <v>120</v>
      </c>
      <c r="B120" s="107">
        <v>4.0449999999999999</v>
      </c>
      <c r="C120" s="7">
        <v>4.5229999999999997</v>
      </c>
      <c r="D120" s="7">
        <v>4.8090000000000002</v>
      </c>
      <c r="E120" s="7">
        <v>5.0129999999999999</v>
      </c>
      <c r="F120" s="7">
        <v>5.1719999999999997</v>
      </c>
      <c r="G120" s="7">
        <v>5.3010000000000002</v>
      </c>
      <c r="H120" s="31">
        <v>5.41</v>
      </c>
      <c r="I120" s="7">
        <v>5.5039999999999996</v>
      </c>
      <c r="J120" s="7">
        <v>5.5860000000000003</v>
      </c>
      <c r="K120" s="31">
        <v>5.66</v>
      </c>
      <c r="L120" s="31">
        <v>5.726</v>
      </c>
      <c r="M120" s="7">
        <v>5.7859999999999996</v>
      </c>
      <c r="N120" s="7">
        <v>5.8419999999999996</v>
      </c>
      <c r="O120" s="7">
        <v>5.8929999999999998</v>
      </c>
      <c r="P120" s="31">
        <v>5.94</v>
      </c>
      <c r="Q120" s="31">
        <v>6.0250000000000004</v>
      </c>
      <c r="R120" s="31">
        <v>6.101</v>
      </c>
      <c r="S120" s="31">
        <v>6.23</v>
      </c>
      <c r="T120" s="7">
        <v>6.3369999999999997</v>
      </c>
      <c r="U120" s="7">
        <v>6.4279999999999999</v>
      </c>
      <c r="V120" s="7">
        <v>6.508</v>
      </c>
      <c r="W120" s="167">
        <v>6.58</v>
      </c>
    </row>
    <row r="121" spans="1:23" x14ac:dyDescent="0.25">
      <c r="A121" s="12" t="s">
        <v>115</v>
      </c>
      <c r="B121" s="168">
        <v>3.97</v>
      </c>
      <c r="C121" s="185">
        <v>4.4240000000000004</v>
      </c>
      <c r="D121" s="185">
        <v>4.694</v>
      </c>
      <c r="E121" s="185">
        <v>4.8860000000000001</v>
      </c>
      <c r="F121" s="185">
        <v>5.0330000000000004</v>
      </c>
      <c r="G121" s="185">
        <v>5.1539999999999999</v>
      </c>
      <c r="H121" s="185">
        <v>5.2549999999999999</v>
      </c>
      <c r="I121" s="185">
        <v>5.3410000000000002</v>
      </c>
      <c r="J121" s="185">
        <v>5.4180000000000001</v>
      </c>
      <c r="K121" s="185">
        <v>5.4850000000000003</v>
      </c>
      <c r="L121" s="185">
        <v>5.5460000000000003</v>
      </c>
      <c r="M121" s="185">
        <v>5.6020000000000003</v>
      </c>
      <c r="N121" s="185">
        <v>5.6520000000000001</v>
      </c>
      <c r="O121" s="185">
        <v>5.6989999999999998</v>
      </c>
      <c r="P121" s="218">
        <v>5.742</v>
      </c>
      <c r="Q121" s="218">
        <v>5.82</v>
      </c>
      <c r="R121" s="218">
        <v>5.8890000000000002</v>
      </c>
      <c r="S121" s="185">
        <v>6.0060000000000002</v>
      </c>
      <c r="T121" s="185">
        <v>6.1029999999999998</v>
      </c>
      <c r="U121" s="185">
        <v>6.1859999999999999</v>
      </c>
      <c r="V121" s="185">
        <v>6.258</v>
      </c>
      <c r="W121" s="56">
        <v>6.3220000000000001</v>
      </c>
    </row>
    <row r="122" spans="1:23" x14ac:dyDescent="0.25">
      <c r="A122" s="12"/>
    </row>
    <row r="123" spans="1:23" x14ac:dyDescent="0.25">
      <c r="A123" t="s">
        <v>17</v>
      </c>
      <c r="B123">
        <v>1E-3</v>
      </c>
    </row>
    <row r="124" spans="1:23" x14ac:dyDescent="0.25">
      <c r="B124" t="s">
        <v>55</v>
      </c>
    </row>
    <row r="125" spans="1:23" x14ac:dyDescent="0.25">
      <c r="A125" s="12" t="s">
        <v>37</v>
      </c>
      <c r="B125">
        <v>2</v>
      </c>
      <c r="C125">
        <f>B125+1</f>
        <v>3</v>
      </c>
      <c r="D125">
        <f t="shared" ref="D125:L125" si="4">C125+1</f>
        <v>4</v>
      </c>
      <c r="E125">
        <f t="shared" si="4"/>
        <v>5</v>
      </c>
      <c r="F125">
        <f t="shared" si="4"/>
        <v>6</v>
      </c>
      <c r="G125">
        <f t="shared" si="4"/>
        <v>7</v>
      </c>
      <c r="H125">
        <f t="shared" si="4"/>
        <v>8</v>
      </c>
      <c r="I125">
        <f t="shared" si="4"/>
        <v>9</v>
      </c>
      <c r="J125">
        <f t="shared" si="4"/>
        <v>10</v>
      </c>
      <c r="K125">
        <f t="shared" si="4"/>
        <v>11</v>
      </c>
      <c r="L125">
        <f t="shared" si="4"/>
        <v>12</v>
      </c>
      <c r="M125">
        <v>13</v>
      </c>
      <c r="N125">
        <f>M125+1</f>
        <v>14</v>
      </c>
      <c r="O125">
        <f>N125+1</f>
        <v>15</v>
      </c>
      <c r="P125">
        <f>O125+1</f>
        <v>16</v>
      </c>
      <c r="Q125">
        <f>P125+2</f>
        <v>18</v>
      </c>
      <c r="R125">
        <f>Q125+2</f>
        <v>20</v>
      </c>
      <c r="S125">
        <f>R125+4</f>
        <v>24</v>
      </c>
      <c r="T125">
        <f>S125+4</f>
        <v>28</v>
      </c>
      <c r="U125">
        <f>T125+4</f>
        <v>32</v>
      </c>
      <c r="V125">
        <f>U125+4</f>
        <v>36</v>
      </c>
      <c r="W125">
        <f>V125+4</f>
        <v>40</v>
      </c>
    </row>
    <row r="126" spans="1:23" x14ac:dyDescent="0.25">
      <c r="A126">
        <v>1</v>
      </c>
      <c r="B126" s="3">
        <v>900.3</v>
      </c>
      <c r="C126" s="192">
        <v>1351</v>
      </c>
      <c r="D126" s="192">
        <v>1643</v>
      </c>
      <c r="E126" s="192">
        <v>1856</v>
      </c>
      <c r="F126" s="192">
        <v>2022</v>
      </c>
      <c r="G126" s="192">
        <v>2158</v>
      </c>
      <c r="H126" s="192">
        <v>2272</v>
      </c>
      <c r="I126" s="192">
        <v>2370</v>
      </c>
      <c r="J126" s="192">
        <v>2455</v>
      </c>
      <c r="K126" s="192">
        <v>2532</v>
      </c>
      <c r="L126" s="192">
        <v>2600</v>
      </c>
      <c r="M126" s="192">
        <v>2662</v>
      </c>
      <c r="N126" s="192">
        <v>2718</v>
      </c>
      <c r="O126" s="192">
        <v>2770</v>
      </c>
      <c r="P126" s="192">
        <v>2818</v>
      </c>
      <c r="Q126" s="192">
        <v>2904</v>
      </c>
      <c r="R126" s="192">
        <v>2980</v>
      </c>
      <c r="S126" s="192">
        <v>3108</v>
      </c>
      <c r="T126" s="192">
        <v>3213</v>
      </c>
      <c r="U126" s="192">
        <v>3303</v>
      </c>
      <c r="V126" s="192">
        <v>3380</v>
      </c>
      <c r="W126" s="5">
        <v>3448</v>
      </c>
    </row>
    <row r="127" spans="1:23" x14ac:dyDescent="0.25">
      <c r="A127">
        <v>2</v>
      </c>
      <c r="B127" s="107">
        <v>44.69</v>
      </c>
      <c r="C127" s="7">
        <v>60.42</v>
      </c>
      <c r="D127" s="7">
        <v>70.77</v>
      </c>
      <c r="E127" s="7">
        <v>78.430000000000007</v>
      </c>
      <c r="F127" s="7">
        <v>84.49</v>
      </c>
      <c r="G127" s="7">
        <v>89.46</v>
      </c>
      <c r="H127" s="7">
        <v>93.67</v>
      </c>
      <c r="I127" s="29">
        <v>97.3</v>
      </c>
      <c r="J127" s="7">
        <v>100.5</v>
      </c>
      <c r="K127" s="7">
        <v>103.3</v>
      </c>
      <c r="L127" s="7">
        <v>105.9</v>
      </c>
      <c r="M127" s="7">
        <v>108.2</v>
      </c>
      <c r="N127" s="7">
        <v>110.4</v>
      </c>
      <c r="O127" s="7">
        <v>112.3</v>
      </c>
      <c r="P127" s="7">
        <v>114.2</v>
      </c>
      <c r="Q127" s="7">
        <v>117.4</v>
      </c>
      <c r="R127" s="7">
        <v>120.3</v>
      </c>
      <c r="S127" s="7">
        <v>125.2</v>
      </c>
      <c r="T127" s="7">
        <v>129.30000000000001</v>
      </c>
      <c r="U127" s="7">
        <v>132.69999999999999</v>
      </c>
      <c r="V127" s="7">
        <v>135.69999999999999</v>
      </c>
      <c r="W127" s="108">
        <v>138.30000000000001</v>
      </c>
    </row>
    <row r="128" spans="1:23" x14ac:dyDescent="0.25">
      <c r="A128">
        <v>3</v>
      </c>
      <c r="B128" s="107">
        <v>18.28</v>
      </c>
      <c r="C128" s="7">
        <v>23.32</v>
      </c>
      <c r="D128" s="7">
        <v>26.65</v>
      </c>
      <c r="E128" s="7">
        <v>29.13</v>
      </c>
      <c r="F128" s="7">
        <v>31.11</v>
      </c>
      <c r="G128" s="7">
        <v>32.74</v>
      </c>
      <c r="H128" s="7">
        <v>34.119999999999997</v>
      </c>
      <c r="I128" s="7">
        <v>35.33</v>
      </c>
      <c r="J128" s="7">
        <v>36.39</v>
      </c>
      <c r="K128" s="7">
        <v>37.340000000000003</v>
      </c>
      <c r="L128" s="29">
        <v>38.200000000000003</v>
      </c>
      <c r="M128" s="7">
        <v>38.979999999999997</v>
      </c>
      <c r="N128" s="7">
        <v>39.69</v>
      </c>
      <c r="O128" s="7">
        <v>40.35</v>
      </c>
      <c r="P128" s="7">
        <v>40.97</v>
      </c>
      <c r="Q128" s="7">
        <v>42.07</v>
      </c>
      <c r="R128" s="7">
        <v>43.05</v>
      </c>
      <c r="S128" s="7">
        <v>44.7</v>
      </c>
      <c r="T128" s="7">
        <v>46.07</v>
      </c>
      <c r="U128" s="7">
        <v>47.24</v>
      </c>
      <c r="V128" s="7">
        <v>48.26</v>
      </c>
      <c r="W128" s="108">
        <v>49.16</v>
      </c>
    </row>
    <row r="129" spans="1:23" x14ac:dyDescent="0.25">
      <c r="A129">
        <v>4</v>
      </c>
      <c r="B129" s="144">
        <v>12.18</v>
      </c>
      <c r="C129" s="29">
        <v>14.99</v>
      </c>
      <c r="D129" s="29">
        <v>16.84</v>
      </c>
      <c r="E129" s="29">
        <v>18.23</v>
      </c>
      <c r="F129" s="29">
        <v>19.34</v>
      </c>
      <c r="G129" s="29">
        <v>20.260000000000002</v>
      </c>
      <c r="H129" s="29">
        <v>21.04</v>
      </c>
      <c r="I129" s="29">
        <v>21.73</v>
      </c>
      <c r="J129" s="29">
        <v>22.33</v>
      </c>
      <c r="K129" s="29">
        <v>22.87</v>
      </c>
      <c r="L129" s="29">
        <v>23.36</v>
      </c>
      <c r="M129" s="29">
        <v>23.81</v>
      </c>
      <c r="N129" s="29">
        <v>24.21</v>
      </c>
      <c r="O129" s="29">
        <v>24.59</v>
      </c>
      <c r="P129" s="29">
        <v>24.94</v>
      </c>
      <c r="Q129" s="29">
        <v>25.58</v>
      </c>
      <c r="R129" s="29">
        <v>26.14</v>
      </c>
      <c r="S129" s="29">
        <v>27.1</v>
      </c>
      <c r="T129" s="29">
        <v>27.89</v>
      </c>
      <c r="U129" s="29">
        <v>28.57</v>
      </c>
      <c r="V129" s="29">
        <v>29.16</v>
      </c>
      <c r="W129" s="145">
        <v>29.68</v>
      </c>
    </row>
    <row r="130" spans="1:23" x14ac:dyDescent="0.25">
      <c r="A130">
        <v>5</v>
      </c>
      <c r="B130" s="166">
        <v>9.7140000000000004</v>
      </c>
      <c r="C130" s="29">
        <v>11.67</v>
      </c>
      <c r="D130" s="29">
        <v>12.96</v>
      </c>
      <c r="E130" s="29">
        <v>13.93</v>
      </c>
      <c r="F130" s="29">
        <v>14.71</v>
      </c>
      <c r="G130" s="29">
        <v>15.35</v>
      </c>
      <c r="H130" s="29">
        <v>15.9</v>
      </c>
      <c r="I130" s="29">
        <v>16.38</v>
      </c>
      <c r="J130" s="29">
        <v>16.809999999999999</v>
      </c>
      <c r="K130" s="29">
        <v>17.18</v>
      </c>
      <c r="L130" s="29">
        <v>17.53</v>
      </c>
      <c r="M130" s="29">
        <v>17.850000000000001</v>
      </c>
      <c r="N130" s="29">
        <v>18.13</v>
      </c>
      <c r="O130" s="29">
        <v>18.41</v>
      </c>
      <c r="P130" s="29">
        <v>18.66</v>
      </c>
      <c r="Q130" s="29">
        <v>19.100000000000001</v>
      </c>
      <c r="R130" s="29">
        <v>19.510000000000002</v>
      </c>
      <c r="S130" s="29">
        <v>20.190000000000001</v>
      </c>
      <c r="T130" s="29">
        <v>20.75</v>
      </c>
      <c r="U130" s="29">
        <v>21.24</v>
      </c>
      <c r="V130" s="29">
        <v>21.66</v>
      </c>
      <c r="W130" s="145">
        <v>22.03</v>
      </c>
    </row>
    <row r="131" spans="1:23" x14ac:dyDescent="0.25">
      <c r="A131">
        <v>6</v>
      </c>
      <c r="B131" s="166">
        <v>8.4269999999999996</v>
      </c>
      <c r="C131" s="29">
        <v>9.9600000000000009</v>
      </c>
      <c r="D131" s="29">
        <v>10.97</v>
      </c>
      <c r="E131" s="29">
        <v>11.72</v>
      </c>
      <c r="F131" s="29">
        <v>12.32</v>
      </c>
      <c r="G131" s="29">
        <v>12.83</v>
      </c>
      <c r="H131" s="29">
        <v>13.26</v>
      </c>
      <c r="I131" s="29">
        <v>13.63</v>
      </c>
      <c r="J131" s="29">
        <v>13.97</v>
      </c>
      <c r="K131" s="29">
        <v>14.27</v>
      </c>
      <c r="L131" s="29">
        <v>14.54</v>
      </c>
      <c r="M131" s="29">
        <v>14.79</v>
      </c>
      <c r="N131" s="29">
        <v>15.01</v>
      </c>
      <c r="O131" s="29">
        <v>15.22</v>
      </c>
      <c r="P131" s="29">
        <v>15.42</v>
      </c>
      <c r="Q131" s="29">
        <v>15.78</v>
      </c>
      <c r="R131" s="29">
        <v>16.09</v>
      </c>
      <c r="S131" s="29">
        <v>16.64</v>
      </c>
      <c r="T131" s="29">
        <v>17.079999999999998</v>
      </c>
      <c r="U131" s="29">
        <v>17.47</v>
      </c>
      <c r="V131" s="29">
        <v>17.809999999999999</v>
      </c>
      <c r="W131" s="145">
        <v>18.100000000000001</v>
      </c>
    </row>
    <row r="132" spans="1:23" x14ac:dyDescent="0.25">
      <c r="A132">
        <v>7</v>
      </c>
      <c r="B132" s="166">
        <v>7.6479999999999997</v>
      </c>
      <c r="C132" s="31">
        <v>8.93</v>
      </c>
      <c r="D132" s="31">
        <v>9.7680000000000007</v>
      </c>
      <c r="E132" s="29">
        <v>10.4</v>
      </c>
      <c r="F132" s="29">
        <v>10.9</v>
      </c>
      <c r="G132" s="7">
        <v>11.32</v>
      </c>
      <c r="H132" s="7">
        <v>11.68</v>
      </c>
      <c r="I132" s="7">
        <v>11.99</v>
      </c>
      <c r="J132" s="7">
        <v>12.27</v>
      </c>
      <c r="K132" s="7">
        <v>12.52</v>
      </c>
      <c r="L132" s="7">
        <v>12.74</v>
      </c>
      <c r="M132" s="7">
        <v>12.95</v>
      </c>
      <c r="N132" s="7">
        <v>13.14</v>
      </c>
      <c r="O132" s="7">
        <v>13.32</v>
      </c>
      <c r="P132" s="7">
        <v>13.48</v>
      </c>
      <c r="Q132" s="7">
        <v>13.78</v>
      </c>
      <c r="R132" s="7">
        <v>14.04</v>
      </c>
      <c r="S132" s="29">
        <v>14.5</v>
      </c>
      <c r="T132" s="7">
        <v>14.88</v>
      </c>
      <c r="U132" s="29">
        <v>15.2</v>
      </c>
      <c r="V132" s="7">
        <v>15.49</v>
      </c>
      <c r="W132" s="108">
        <v>15.74</v>
      </c>
    </row>
    <row r="133" spans="1:23" x14ac:dyDescent="0.25">
      <c r="A133">
        <v>8</v>
      </c>
      <c r="B133" s="166">
        <v>7.13</v>
      </c>
      <c r="C133" s="31">
        <v>8.25</v>
      </c>
      <c r="D133" s="31">
        <v>8.9779999999999998</v>
      </c>
      <c r="E133" s="7">
        <v>9.5220000000000002</v>
      </c>
      <c r="F133" s="7">
        <v>9.9580000000000002</v>
      </c>
      <c r="G133" s="7">
        <v>10.32</v>
      </c>
      <c r="H133" s="7">
        <v>10.64</v>
      </c>
      <c r="I133" s="7">
        <v>10.91</v>
      </c>
      <c r="J133" s="7">
        <v>11.15</v>
      </c>
      <c r="K133" s="7">
        <v>11.36</v>
      </c>
      <c r="L133" s="7">
        <v>11.56</v>
      </c>
      <c r="M133" s="7">
        <v>11.74</v>
      </c>
      <c r="N133" s="7">
        <v>11.91</v>
      </c>
      <c r="O133" s="7">
        <v>12.06</v>
      </c>
      <c r="P133" s="7">
        <v>12.21</v>
      </c>
      <c r="Q133" s="7">
        <v>12.47</v>
      </c>
      <c r="R133" s="29">
        <v>12.7</v>
      </c>
      <c r="S133" s="7">
        <v>13.09</v>
      </c>
      <c r="T133" s="7">
        <v>13.42</v>
      </c>
      <c r="U133" s="7">
        <v>13.71</v>
      </c>
      <c r="V133" s="7">
        <v>13.96</v>
      </c>
      <c r="W133" s="108">
        <v>14.18</v>
      </c>
    </row>
    <row r="134" spans="1:23" x14ac:dyDescent="0.25">
      <c r="A134">
        <v>9</v>
      </c>
      <c r="B134" s="166">
        <v>6.7619999999999996</v>
      </c>
      <c r="C134" s="7">
        <v>7.7679999999999998</v>
      </c>
      <c r="D134" s="7">
        <v>8.4190000000000005</v>
      </c>
      <c r="E134" s="7">
        <v>8.9060000000000006</v>
      </c>
      <c r="F134" s="7">
        <v>9.2949999999999999</v>
      </c>
      <c r="G134" s="7">
        <v>9.6189999999999998</v>
      </c>
      <c r="H134" s="7">
        <v>9.8970000000000002</v>
      </c>
      <c r="I134" s="7">
        <v>10.14</v>
      </c>
      <c r="J134" s="7">
        <v>10.36</v>
      </c>
      <c r="K134" s="7">
        <v>10.55</v>
      </c>
      <c r="L134" s="7">
        <v>10.73</v>
      </c>
      <c r="M134" s="7">
        <v>10.89</v>
      </c>
      <c r="N134" s="7">
        <v>11.03</v>
      </c>
      <c r="O134" s="7">
        <v>11.18</v>
      </c>
      <c r="P134" s="29">
        <v>11.3</v>
      </c>
      <c r="Q134" s="7">
        <v>11.54</v>
      </c>
      <c r="R134" s="7">
        <v>11.75</v>
      </c>
      <c r="S134" s="29">
        <v>12.1</v>
      </c>
      <c r="T134" s="7">
        <v>12.39</v>
      </c>
      <c r="U134" s="7">
        <v>12.65</v>
      </c>
      <c r="V134" s="7">
        <v>12.87</v>
      </c>
      <c r="W134" s="108">
        <v>13.07</v>
      </c>
    </row>
    <row r="135" spans="1:23" x14ac:dyDescent="0.25">
      <c r="A135">
        <v>10</v>
      </c>
      <c r="B135" s="166">
        <v>6.4870000000000001</v>
      </c>
      <c r="C135" s="7">
        <v>7.4109999999999996</v>
      </c>
      <c r="D135" s="7">
        <v>8.0060000000000002</v>
      </c>
      <c r="E135" s="31">
        <v>8.4499999999999993</v>
      </c>
      <c r="F135" s="7">
        <v>8.8040000000000003</v>
      </c>
      <c r="G135" s="7">
        <v>9.0990000000000002</v>
      </c>
      <c r="H135" s="7">
        <v>9.3520000000000003</v>
      </c>
      <c r="I135" s="7">
        <v>9.5730000000000004</v>
      </c>
      <c r="J135" s="7">
        <v>9.7690000000000001</v>
      </c>
      <c r="K135" s="7">
        <v>9.9459999999999997</v>
      </c>
      <c r="L135" s="7">
        <v>10.11</v>
      </c>
      <c r="M135" s="7">
        <v>10.25</v>
      </c>
      <c r="N135" s="7">
        <v>10.39</v>
      </c>
      <c r="O135" s="7">
        <v>10.52</v>
      </c>
      <c r="P135" s="7">
        <v>10.64</v>
      </c>
      <c r="Q135" s="7">
        <v>10.85</v>
      </c>
      <c r="R135" s="7">
        <v>11.03</v>
      </c>
      <c r="S135" s="7">
        <v>11.36</v>
      </c>
      <c r="T135" s="7">
        <v>11.63</v>
      </c>
      <c r="U135" s="7">
        <v>11.87</v>
      </c>
      <c r="V135" s="7">
        <v>12.07</v>
      </c>
      <c r="W135" s="108">
        <v>12.25</v>
      </c>
    </row>
    <row r="136" spans="1:23" x14ac:dyDescent="0.25">
      <c r="A136">
        <v>11</v>
      </c>
      <c r="B136" s="166">
        <v>6.2750000000000004</v>
      </c>
      <c r="C136" s="7">
        <v>7.1360000000000001</v>
      </c>
      <c r="D136" s="7">
        <v>7.6870000000000003</v>
      </c>
      <c r="E136" s="7">
        <v>8.0980000000000008</v>
      </c>
      <c r="F136" s="7">
        <v>8.4260000000000002</v>
      </c>
      <c r="G136" s="7">
        <v>8.6989999999999998</v>
      </c>
      <c r="H136" s="7">
        <v>8.9329999999999998</v>
      </c>
      <c r="I136" s="7">
        <v>9.1379999999999999</v>
      </c>
      <c r="J136" s="7">
        <v>9.3190000000000008</v>
      </c>
      <c r="K136" s="7">
        <v>9.4819999999999993</v>
      </c>
      <c r="L136" s="7">
        <v>9.6300000000000008</v>
      </c>
      <c r="M136" s="7">
        <v>9.766</v>
      </c>
      <c r="N136" s="7">
        <v>9.8919999999999995</v>
      </c>
      <c r="O136" s="7">
        <v>10.01</v>
      </c>
      <c r="P136" s="7">
        <v>10.119999999999999</v>
      </c>
      <c r="Q136" s="7">
        <v>10.31</v>
      </c>
      <c r="R136" s="7">
        <v>10.49</v>
      </c>
      <c r="S136" s="7">
        <v>10.79</v>
      </c>
      <c r="T136" s="7">
        <v>11.04</v>
      </c>
      <c r="U136" s="7">
        <v>11.26</v>
      </c>
      <c r="V136" s="7">
        <v>11.45</v>
      </c>
      <c r="W136" s="108">
        <v>11.62</v>
      </c>
    </row>
    <row r="137" spans="1:23" x14ac:dyDescent="0.25">
      <c r="A137">
        <v>12</v>
      </c>
      <c r="B137" s="166">
        <v>6.1059999999999999</v>
      </c>
      <c r="C137" s="7">
        <v>6.9169999999999998</v>
      </c>
      <c r="D137" s="7">
        <v>7.4359999999999999</v>
      </c>
      <c r="E137" s="7">
        <v>7.8209999999999997</v>
      </c>
      <c r="F137" s="7">
        <v>8.1270000000000007</v>
      </c>
      <c r="G137" s="7">
        <v>8.3829999999999991</v>
      </c>
      <c r="H137" s="7">
        <v>8.6010000000000009</v>
      </c>
      <c r="I137" s="7">
        <v>8.7929999999999993</v>
      </c>
      <c r="J137" s="7">
        <v>8.9619999999999997</v>
      </c>
      <c r="K137" s="7">
        <v>9.1150000000000002</v>
      </c>
      <c r="L137" s="7">
        <v>9.2539999999999996</v>
      </c>
      <c r="M137" s="7">
        <v>9.3810000000000002</v>
      </c>
      <c r="N137" s="7">
        <v>9.4979999999999993</v>
      </c>
      <c r="O137" s="7">
        <v>9.6059999999999999</v>
      </c>
      <c r="P137" s="7">
        <v>9.7070000000000007</v>
      </c>
      <c r="Q137" s="7">
        <v>9.891</v>
      </c>
      <c r="R137" s="7">
        <v>10.06</v>
      </c>
      <c r="S137" s="7">
        <v>10.34</v>
      </c>
      <c r="T137" s="7">
        <v>10.57</v>
      </c>
      <c r="U137" s="7">
        <v>10.78</v>
      </c>
      <c r="V137" s="7">
        <v>10.96</v>
      </c>
      <c r="W137" s="108">
        <v>11.11</v>
      </c>
    </row>
    <row r="138" spans="1:23" x14ac:dyDescent="0.25">
      <c r="A138">
        <v>13</v>
      </c>
      <c r="B138" s="166">
        <v>5.97</v>
      </c>
      <c r="C138" s="31">
        <v>6.74</v>
      </c>
      <c r="D138" s="31">
        <v>7.2309999999999999</v>
      </c>
      <c r="E138" s="31">
        <v>7.5949999999999998</v>
      </c>
      <c r="F138" s="31">
        <v>7.8849999999999998</v>
      </c>
      <c r="G138" s="31">
        <v>8.1259999999999994</v>
      </c>
      <c r="H138" s="31">
        <v>8.3330000000000002</v>
      </c>
      <c r="I138" s="31">
        <v>8.5129999999999999</v>
      </c>
      <c r="J138" s="31">
        <v>8.673</v>
      </c>
      <c r="K138" s="31">
        <v>8.8170000000000002</v>
      </c>
      <c r="L138" s="31">
        <v>8.9480000000000004</v>
      </c>
      <c r="M138" s="31">
        <v>9.0679999999999996</v>
      </c>
      <c r="N138" s="31">
        <v>9.1780000000000008</v>
      </c>
      <c r="O138" s="31">
        <v>9.2810000000000006</v>
      </c>
      <c r="P138" s="31">
        <v>9.3759999999999994</v>
      </c>
      <c r="Q138" s="31">
        <v>9.5500000000000007</v>
      </c>
      <c r="R138" s="31">
        <v>9.7040000000000006</v>
      </c>
      <c r="S138" s="31">
        <v>9.9689999999999994</v>
      </c>
      <c r="T138" s="29">
        <v>10.19</v>
      </c>
      <c r="U138" s="29">
        <v>10.39</v>
      </c>
      <c r="V138" s="29">
        <v>10.55</v>
      </c>
      <c r="W138" s="145">
        <v>10.7</v>
      </c>
    </row>
    <row r="139" spans="1:23" x14ac:dyDescent="0.25">
      <c r="A139">
        <v>14</v>
      </c>
      <c r="B139" s="166">
        <v>5.8559999999999999</v>
      </c>
      <c r="C139" s="31">
        <v>6.5940000000000003</v>
      </c>
      <c r="D139" s="31">
        <v>7.0620000000000003</v>
      </c>
      <c r="E139" s="31">
        <v>7.4089999999999998</v>
      </c>
      <c r="F139" s="31">
        <v>7.6849999999999996</v>
      </c>
      <c r="G139" s="31">
        <v>7.915</v>
      </c>
      <c r="H139" s="31">
        <v>8.11</v>
      </c>
      <c r="I139" s="31">
        <v>8.282</v>
      </c>
      <c r="J139" s="31">
        <v>8.4339999999999993</v>
      </c>
      <c r="K139" s="31">
        <v>8.5709999999999997</v>
      </c>
      <c r="L139" s="31">
        <v>8.6959999999999997</v>
      </c>
      <c r="M139" s="31">
        <v>8.8089999999999993</v>
      </c>
      <c r="N139" s="31">
        <v>8.9139999999999997</v>
      </c>
      <c r="O139" s="31">
        <v>9.0120000000000005</v>
      </c>
      <c r="P139" s="31">
        <v>9.1029999999999998</v>
      </c>
      <c r="Q139" s="31">
        <v>9.2669999999999995</v>
      </c>
      <c r="R139" s="31">
        <v>9.4139999999999997</v>
      </c>
      <c r="S139" s="31">
        <v>9.6660000000000004</v>
      </c>
      <c r="T139" s="31">
        <v>9.8780000000000001</v>
      </c>
      <c r="U139" s="29">
        <v>10.06</v>
      </c>
      <c r="V139" s="29">
        <v>10.220000000000001</v>
      </c>
      <c r="W139" s="145">
        <v>10.37</v>
      </c>
    </row>
    <row r="140" spans="1:23" x14ac:dyDescent="0.25">
      <c r="A140">
        <v>15</v>
      </c>
      <c r="B140" s="166">
        <v>5.76</v>
      </c>
      <c r="C140" s="31">
        <v>6.47</v>
      </c>
      <c r="D140" s="31">
        <v>6.92</v>
      </c>
      <c r="E140" s="31">
        <v>7.2519999999999998</v>
      </c>
      <c r="F140" s="31">
        <v>7.5170000000000003</v>
      </c>
      <c r="G140" s="31">
        <v>7.7359999999999998</v>
      </c>
      <c r="H140" s="31">
        <v>7.9249999999999998</v>
      </c>
      <c r="I140" s="31">
        <v>8.0879999999999992</v>
      </c>
      <c r="J140" s="31">
        <v>8.234</v>
      </c>
      <c r="K140" s="31">
        <v>8.3650000000000002</v>
      </c>
      <c r="L140" s="31">
        <v>8.4830000000000005</v>
      </c>
      <c r="M140" s="31">
        <v>8.5920000000000005</v>
      </c>
      <c r="N140" s="31">
        <v>8.6929999999999996</v>
      </c>
      <c r="O140" s="31">
        <v>8.7859999999999996</v>
      </c>
      <c r="P140" s="31">
        <v>8.8719999999999999</v>
      </c>
      <c r="Q140" s="31">
        <v>9.0299999999999994</v>
      </c>
      <c r="R140" s="31">
        <v>9.17</v>
      </c>
      <c r="S140" s="31">
        <v>9.4109999999999996</v>
      </c>
      <c r="T140" s="31">
        <v>9.6129999999999995</v>
      </c>
      <c r="U140" s="31">
        <v>9.7880000000000003</v>
      </c>
      <c r="V140" s="29">
        <v>9.94</v>
      </c>
      <c r="W140" s="145">
        <v>10.08</v>
      </c>
    </row>
    <row r="141" spans="1:23" x14ac:dyDescent="0.25">
      <c r="A141">
        <v>16</v>
      </c>
      <c r="B141" s="166">
        <v>5.6779999999999999</v>
      </c>
      <c r="C141" s="31">
        <v>6.3650000000000002</v>
      </c>
      <c r="D141" s="31">
        <v>6.7990000000000004</v>
      </c>
      <c r="E141" s="31">
        <v>7.1189999999999998</v>
      </c>
      <c r="F141" s="31">
        <v>7.3739999999999997</v>
      </c>
      <c r="G141" s="31">
        <v>7.585</v>
      </c>
      <c r="H141" s="31">
        <v>7.766</v>
      </c>
      <c r="I141" s="31">
        <v>7.923</v>
      </c>
      <c r="J141" s="31">
        <v>8.0630000000000006</v>
      </c>
      <c r="K141" s="31">
        <v>8.1890000000000001</v>
      </c>
      <c r="L141" s="31">
        <v>8.3030000000000008</v>
      </c>
      <c r="M141" s="31">
        <v>8.407</v>
      </c>
      <c r="N141" s="31">
        <v>8.5039999999999996</v>
      </c>
      <c r="O141" s="31">
        <v>8.593</v>
      </c>
      <c r="P141" s="31">
        <v>8.6760000000000002</v>
      </c>
      <c r="Q141" s="31">
        <v>8.8279999999999994</v>
      </c>
      <c r="R141" s="31">
        <v>8.9629999999999992</v>
      </c>
      <c r="S141" s="31">
        <v>9.1940000000000008</v>
      </c>
      <c r="T141" s="31">
        <v>9.3879999999999999</v>
      </c>
      <c r="U141" s="31">
        <v>9.5559999999999992</v>
      </c>
      <c r="V141" s="31">
        <v>9.702</v>
      </c>
      <c r="W141" s="167">
        <v>9.8330000000000002</v>
      </c>
    </row>
    <row r="142" spans="1:23" x14ac:dyDescent="0.25">
      <c r="A142">
        <v>17</v>
      </c>
      <c r="B142" s="166">
        <v>5.6079999999999997</v>
      </c>
      <c r="C142" s="31">
        <v>6.2750000000000004</v>
      </c>
      <c r="D142" s="31">
        <v>6.6950000000000003</v>
      </c>
      <c r="E142" s="31">
        <v>7.0049999999999999</v>
      </c>
      <c r="F142" s="31">
        <v>7.25</v>
      </c>
      <c r="G142" s="31">
        <v>7.4539999999999997</v>
      </c>
      <c r="H142" s="31">
        <v>7.6289999999999996</v>
      </c>
      <c r="I142" s="31">
        <v>7.7809999999999997</v>
      </c>
      <c r="J142" s="31">
        <v>7.9160000000000004</v>
      </c>
      <c r="K142" s="31">
        <v>8.0370000000000008</v>
      </c>
      <c r="L142" s="31">
        <v>8.1479999999999997</v>
      </c>
      <c r="M142" s="31">
        <v>8.2479999999999993</v>
      </c>
      <c r="N142" s="31">
        <v>8.3420000000000005</v>
      </c>
      <c r="O142" s="31">
        <v>8.4269999999999996</v>
      </c>
      <c r="P142" s="31">
        <v>8.5079999999999991</v>
      </c>
      <c r="Q142" s="31">
        <v>8.6539999999999999</v>
      </c>
      <c r="R142" s="31">
        <v>8.7840000000000007</v>
      </c>
      <c r="S142" s="31">
        <v>9.0069999999999997</v>
      </c>
      <c r="T142" s="31">
        <v>9.1940000000000008</v>
      </c>
      <c r="U142" s="31">
        <v>9.3550000000000004</v>
      </c>
      <c r="V142" s="31">
        <v>9.4969999999999999</v>
      </c>
      <c r="W142" s="167">
        <v>9.6229999999999993</v>
      </c>
    </row>
    <row r="143" spans="1:23" x14ac:dyDescent="0.25">
      <c r="A143">
        <v>18</v>
      </c>
      <c r="B143" s="166">
        <v>5.5460000000000003</v>
      </c>
      <c r="C143" s="31">
        <v>6.1959999999999997</v>
      </c>
      <c r="D143" s="31">
        <v>6.6040000000000001</v>
      </c>
      <c r="E143" s="31">
        <v>6.9050000000000002</v>
      </c>
      <c r="F143" s="31">
        <v>7.1429999999999998</v>
      </c>
      <c r="G143" s="31">
        <v>7.3410000000000002</v>
      </c>
      <c r="H143" s="31">
        <v>7.51</v>
      </c>
      <c r="I143" s="31">
        <v>7.657</v>
      </c>
      <c r="J143" s="31">
        <v>7.7880000000000003</v>
      </c>
      <c r="K143" s="31">
        <v>7.9059999999999997</v>
      </c>
      <c r="L143" s="31">
        <v>8.0120000000000005</v>
      </c>
      <c r="M143" s="31">
        <v>8.11</v>
      </c>
      <c r="N143" s="31">
        <v>8.1989999999999998</v>
      </c>
      <c r="O143" s="31">
        <v>8.2829999999999995</v>
      </c>
      <c r="P143" s="31">
        <v>8.3610000000000007</v>
      </c>
      <c r="Q143" s="31">
        <v>8.5020000000000007</v>
      </c>
      <c r="R143" s="31">
        <v>8.6280000000000001</v>
      </c>
      <c r="S143" s="31">
        <v>8.8439999999999994</v>
      </c>
      <c r="T143" s="31">
        <v>9.0250000000000004</v>
      </c>
      <c r="U143" s="31">
        <v>9.1809999999999992</v>
      </c>
      <c r="V143" s="31">
        <v>9.3179999999999996</v>
      </c>
      <c r="W143" s="167">
        <v>9.44</v>
      </c>
    </row>
    <row r="144" spans="1:23" x14ac:dyDescent="0.25">
      <c r="A144">
        <v>19</v>
      </c>
      <c r="B144" s="166">
        <v>5.492</v>
      </c>
      <c r="C144" s="31">
        <v>6.1269999999999998</v>
      </c>
      <c r="D144" s="31">
        <v>6.5250000000000004</v>
      </c>
      <c r="E144" s="31">
        <v>6.8170000000000002</v>
      </c>
      <c r="F144" s="31">
        <v>7.0490000000000004</v>
      </c>
      <c r="G144" s="31">
        <v>7.242</v>
      </c>
      <c r="H144" s="31">
        <v>7.4050000000000002</v>
      </c>
      <c r="I144" s="31">
        <v>7.5490000000000004</v>
      </c>
      <c r="J144" s="31">
        <v>7.6760000000000002</v>
      </c>
      <c r="K144" s="31">
        <v>7.79</v>
      </c>
      <c r="L144" s="31">
        <v>7.8929999999999998</v>
      </c>
      <c r="M144" s="31">
        <v>7.9880000000000004</v>
      </c>
      <c r="N144" s="31">
        <v>8.0749999999999993</v>
      </c>
      <c r="O144" s="31">
        <v>8.1560000000000006</v>
      </c>
      <c r="P144" s="31">
        <v>8.2319999999999993</v>
      </c>
      <c r="Q144" s="31">
        <v>8.3689999999999998</v>
      </c>
      <c r="R144" s="31">
        <v>8.4909999999999997</v>
      </c>
      <c r="S144" s="31">
        <v>8.7010000000000005</v>
      </c>
      <c r="T144" s="31">
        <v>8.8759999999999994</v>
      </c>
      <c r="U144" s="31">
        <v>9.0280000000000005</v>
      </c>
      <c r="V144" s="31">
        <v>9.1609999999999996</v>
      </c>
      <c r="W144" s="167">
        <v>9.2789999999999999</v>
      </c>
    </row>
    <row r="145" spans="1:23" x14ac:dyDescent="0.25">
      <c r="A145">
        <v>20</v>
      </c>
      <c r="B145" s="166">
        <v>5.444</v>
      </c>
      <c r="C145" s="31">
        <v>6.0650000000000004</v>
      </c>
      <c r="D145" s="31">
        <v>6.4539999999999997</v>
      </c>
      <c r="E145" s="31">
        <v>6.74</v>
      </c>
      <c r="F145" s="31">
        <v>6.9660000000000002</v>
      </c>
      <c r="G145" s="31">
        <v>7.1539999999999999</v>
      </c>
      <c r="H145" s="31">
        <v>7.3129999999999997</v>
      </c>
      <c r="I145" s="31">
        <v>7.4530000000000003</v>
      </c>
      <c r="J145" s="31">
        <v>7.577</v>
      </c>
      <c r="K145" s="31">
        <v>7.6879999999999997</v>
      </c>
      <c r="L145" s="31">
        <v>7.7880000000000003</v>
      </c>
      <c r="M145" s="31">
        <v>7.88</v>
      </c>
      <c r="N145" s="31">
        <v>7.9660000000000002</v>
      </c>
      <c r="O145" s="31">
        <v>8.0440000000000005</v>
      </c>
      <c r="P145" s="31">
        <v>8.1180000000000003</v>
      </c>
      <c r="Q145" s="31">
        <v>8.2509999999999994</v>
      </c>
      <c r="R145" s="31">
        <v>8.3699999999999992</v>
      </c>
      <c r="S145" s="31">
        <v>8.5739999999999998</v>
      </c>
      <c r="T145" s="31">
        <v>8.7449999999999992</v>
      </c>
      <c r="U145" s="31">
        <v>8.8919999999999995</v>
      </c>
      <c r="V145" s="31">
        <v>9.0210000000000008</v>
      </c>
      <c r="W145" s="167">
        <v>9.1370000000000005</v>
      </c>
    </row>
    <row r="146" spans="1:23" x14ac:dyDescent="0.25">
      <c r="A146">
        <v>24</v>
      </c>
      <c r="B146" s="166">
        <v>5.2969999999999997</v>
      </c>
      <c r="C146" s="31">
        <v>5.8769999999999998</v>
      </c>
      <c r="D146" s="31">
        <v>6.2380000000000004</v>
      </c>
      <c r="E146" s="31">
        <v>6.5030000000000001</v>
      </c>
      <c r="F146" s="31">
        <v>6.7119999999999997</v>
      </c>
      <c r="G146" s="31">
        <v>6.8840000000000003</v>
      </c>
      <c r="H146" s="31">
        <v>7.0309999999999997</v>
      </c>
      <c r="I146" s="31">
        <v>7.1589999999999998</v>
      </c>
      <c r="J146" s="31">
        <v>7.2720000000000002</v>
      </c>
      <c r="K146" s="31">
        <v>7.3739999999999997</v>
      </c>
      <c r="L146" s="31">
        <v>7.4669999999999996</v>
      </c>
      <c r="M146" s="31">
        <v>7.5510000000000002</v>
      </c>
      <c r="N146" s="31">
        <v>7.6289999999999996</v>
      </c>
      <c r="O146" s="31">
        <v>7.7009999999999996</v>
      </c>
      <c r="P146" s="31">
        <v>7.7679999999999998</v>
      </c>
      <c r="Q146" s="31">
        <v>7.89</v>
      </c>
      <c r="R146" s="31">
        <v>7.9989999999999997</v>
      </c>
      <c r="S146" s="31">
        <v>8.1850000000000005</v>
      </c>
      <c r="T146" s="31">
        <v>8.3420000000000005</v>
      </c>
      <c r="U146" s="31">
        <v>8.4760000000000009</v>
      </c>
      <c r="V146" s="31">
        <v>8.5939999999999994</v>
      </c>
      <c r="W146" s="167">
        <v>8.6999999999999993</v>
      </c>
    </row>
    <row r="147" spans="1:23" x14ac:dyDescent="0.25">
      <c r="A147">
        <v>30</v>
      </c>
      <c r="B147" s="166">
        <v>5.1559999999999997</v>
      </c>
      <c r="C147" s="31">
        <v>5.6980000000000004</v>
      </c>
      <c r="D147" s="31">
        <v>6.0330000000000004</v>
      </c>
      <c r="E147" s="31">
        <v>6.2779999999999996</v>
      </c>
      <c r="F147" s="31">
        <v>6.47</v>
      </c>
      <c r="G147" s="31">
        <v>6.6280000000000001</v>
      </c>
      <c r="H147" s="31">
        <v>6.7629999999999999</v>
      </c>
      <c r="I147" s="31">
        <v>6.88</v>
      </c>
      <c r="J147" s="31">
        <v>6.984</v>
      </c>
      <c r="K147" s="31">
        <v>7.077</v>
      </c>
      <c r="L147" s="31">
        <v>7.1619999999999999</v>
      </c>
      <c r="M147" s="31">
        <v>7.3289999999999997</v>
      </c>
      <c r="N147" s="31">
        <v>7.31</v>
      </c>
      <c r="O147" s="31">
        <v>7.375</v>
      </c>
      <c r="P147" s="31">
        <v>7.4370000000000003</v>
      </c>
      <c r="Q147" s="31">
        <v>7.548</v>
      </c>
      <c r="R147" s="31">
        <v>7.6470000000000002</v>
      </c>
      <c r="S147" s="31">
        <v>7.8159999999999998</v>
      </c>
      <c r="T147" s="31">
        <v>7.9580000000000002</v>
      </c>
      <c r="U147" s="31">
        <v>8.08</v>
      </c>
      <c r="V147" s="31">
        <v>8.1880000000000006</v>
      </c>
      <c r="W147" s="167">
        <v>8.2829999999999995</v>
      </c>
    </row>
    <row r="148" spans="1:23" x14ac:dyDescent="0.25">
      <c r="A148">
        <v>40</v>
      </c>
      <c r="B148" s="166">
        <v>5.0220000000000002</v>
      </c>
      <c r="C148" s="31">
        <v>5.5279999999999996</v>
      </c>
      <c r="D148" s="31">
        <v>5.8380000000000001</v>
      </c>
      <c r="E148" s="31">
        <v>6.0629999999999997</v>
      </c>
      <c r="F148" s="31">
        <v>6.24</v>
      </c>
      <c r="G148" s="31">
        <v>6.3860000000000001</v>
      </c>
      <c r="H148" s="31">
        <v>6.5090000000000003</v>
      </c>
      <c r="I148" s="31">
        <v>6.6159999999999997</v>
      </c>
      <c r="J148" s="31">
        <v>6.7110000000000003</v>
      </c>
      <c r="K148" s="31">
        <v>6.7960000000000003</v>
      </c>
      <c r="L148" s="31">
        <v>6.8719999999999999</v>
      </c>
      <c r="M148" s="31">
        <v>6.9420000000000002</v>
      </c>
      <c r="N148" s="31">
        <v>7.0069999999999997</v>
      </c>
      <c r="O148" s="31">
        <v>7.0670000000000002</v>
      </c>
      <c r="P148" s="31">
        <v>7.1219999999999999</v>
      </c>
      <c r="Q148" s="31">
        <v>7.2229999999999999</v>
      </c>
      <c r="R148" s="31">
        <v>7.3120000000000003</v>
      </c>
      <c r="S148" s="31">
        <v>7.4660000000000002</v>
      </c>
      <c r="T148" s="31">
        <v>7.5940000000000003</v>
      </c>
      <c r="U148" s="31">
        <v>7.7039999999999997</v>
      </c>
      <c r="V148" s="31">
        <v>7.8010000000000002</v>
      </c>
      <c r="W148" s="167">
        <v>7.8869999999999996</v>
      </c>
    </row>
    <row r="149" spans="1:23" x14ac:dyDescent="0.25">
      <c r="A149">
        <v>60</v>
      </c>
      <c r="B149" s="166">
        <v>4.8940000000000001</v>
      </c>
      <c r="C149" s="31">
        <v>5.3650000000000002</v>
      </c>
      <c r="D149" s="31">
        <v>5.6529999999999996</v>
      </c>
      <c r="E149" s="31">
        <v>5.86</v>
      </c>
      <c r="F149" s="31">
        <v>6.0220000000000002</v>
      </c>
      <c r="G149" s="31">
        <v>6.1550000000000002</v>
      </c>
      <c r="H149" s="31">
        <v>6.2679999999999998</v>
      </c>
      <c r="I149" s="31">
        <v>6.3659999999999997</v>
      </c>
      <c r="J149" s="31">
        <v>6.4509999999999996</v>
      </c>
      <c r="K149" s="31">
        <v>6.5279999999999996</v>
      </c>
      <c r="L149" s="31">
        <v>6.5979999999999999</v>
      </c>
      <c r="M149" s="31">
        <v>6.6609999999999996</v>
      </c>
      <c r="N149" s="31">
        <v>6.72</v>
      </c>
      <c r="O149" s="31">
        <v>6.774</v>
      </c>
      <c r="P149" s="31">
        <v>6.8239999999999998</v>
      </c>
      <c r="Q149" s="31">
        <v>6.9139999999999997</v>
      </c>
      <c r="R149" s="31">
        <v>6.9950000000000001</v>
      </c>
      <c r="S149" s="31">
        <v>7.133</v>
      </c>
      <c r="T149" s="31">
        <v>7.2480000000000002</v>
      </c>
      <c r="U149" s="31">
        <v>7.3470000000000004</v>
      </c>
      <c r="V149" s="31">
        <v>7.4329999999999998</v>
      </c>
      <c r="W149" s="167">
        <v>7.51</v>
      </c>
    </row>
    <row r="150" spans="1:23" x14ac:dyDescent="0.25">
      <c r="A150">
        <v>120</v>
      </c>
      <c r="B150" s="166">
        <v>4.7709999999999999</v>
      </c>
      <c r="C150" s="31">
        <v>5.2110000000000003</v>
      </c>
      <c r="D150" s="31">
        <v>5.476</v>
      </c>
      <c r="E150" s="31">
        <v>5.6669999999999998</v>
      </c>
      <c r="F150" s="31">
        <v>5.8150000000000004</v>
      </c>
      <c r="G150" s="31">
        <v>5.9370000000000003</v>
      </c>
      <c r="H150" s="31">
        <v>6.0389999999999997</v>
      </c>
      <c r="I150" s="31">
        <v>6.1280000000000001</v>
      </c>
      <c r="J150" s="31">
        <v>6.2060000000000004</v>
      </c>
      <c r="K150" s="31">
        <v>6.2759999999999998</v>
      </c>
      <c r="L150" s="31">
        <v>6.3390000000000004</v>
      </c>
      <c r="M150" s="31">
        <v>6.3959999999999999</v>
      </c>
      <c r="N150" s="31">
        <v>6.4480000000000004</v>
      </c>
      <c r="O150" s="31">
        <v>6.4960000000000004</v>
      </c>
      <c r="P150" s="31">
        <v>6.5419999999999998</v>
      </c>
      <c r="Q150" s="31">
        <v>6.6230000000000002</v>
      </c>
      <c r="R150" s="31">
        <v>6.6950000000000003</v>
      </c>
      <c r="S150" s="31">
        <v>6.8179999999999996</v>
      </c>
      <c r="T150" s="31">
        <v>6.9210000000000003</v>
      </c>
      <c r="U150" s="31">
        <v>7.008</v>
      </c>
      <c r="V150" s="31">
        <v>7.085</v>
      </c>
      <c r="W150" s="167">
        <v>7.1529999999999996</v>
      </c>
    </row>
    <row r="151" spans="1:23" x14ac:dyDescent="0.25">
      <c r="A151" s="12" t="s">
        <v>115</v>
      </c>
      <c r="B151" s="168">
        <v>4.6539999999999999</v>
      </c>
      <c r="C151" s="218">
        <v>5.0629999999999997</v>
      </c>
      <c r="D151" s="218">
        <v>5.3090000000000002</v>
      </c>
      <c r="E151" s="218">
        <v>5.484</v>
      </c>
      <c r="F151" s="218">
        <v>5.6189999999999998</v>
      </c>
      <c r="G151" s="218">
        <v>5.73</v>
      </c>
      <c r="H151" s="218">
        <v>5.8230000000000004</v>
      </c>
      <c r="I151" s="218">
        <v>5.9029999999999996</v>
      </c>
      <c r="J151" s="218">
        <v>5.9729999999999999</v>
      </c>
      <c r="K151" s="218">
        <v>6.0359999999999996</v>
      </c>
      <c r="L151" s="218">
        <v>6.0919999999999996</v>
      </c>
      <c r="M151" s="218">
        <v>6.1440000000000001</v>
      </c>
      <c r="N151" s="218">
        <v>6.1909999999999998</v>
      </c>
      <c r="O151" s="218">
        <v>6.234</v>
      </c>
      <c r="P151" s="218">
        <v>6.274</v>
      </c>
      <c r="Q151" s="218">
        <v>6.3470000000000004</v>
      </c>
      <c r="R151" s="218">
        <v>6.4109999999999996</v>
      </c>
      <c r="S151" s="218">
        <v>6.52</v>
      </c>
      <c r="T151" s="218">
        <v>6.6109999999999998</v>
      </c>
      <c r="U151" s="218">
        <v>6.6890000000000001</v>
      </c>
      <c r="V151" s="218">
        <v>6.7560000000000002</v>
      </c>
      <c r="W151" s="169">
        <v>6.8159999999999998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5"/>
  <dimension ref="A1:R33"/>
  <sheetViews>
    <sheetView topLeftCell="A136" workbookViewId="0">
      <selection activeCell="A158" sqref="A158"/>
    </sheetView>
  </sheetViews>
  <sheetFormatPr defaultRowHeight="15" x14ac:dyDescent="0.25"/>
  <cols>
    <col min="6" max="11" width="0" hidden="1" customWidth="1"/>
    <col min="12" max="12" width="10.28515625" customWidth="1"/>
  </cols>
  <sheetData>
    <row r="1" spans="1:18" x14ac:dyDescent="0.25">
      <c r="A1" s="1" t="s">
        <v>622</v>
      </c>
    </row>
    <row r="3" spans="1:18" x14ac:dyDescent="0.25">
      <c r="B3" s="238" t="s">
        <v>589</v>
      </c>
      <c r="C3" s="237" t="s">
        <v>590</v>
      </c>
      <c r="D3" s="239" t="s">
        <v>591</v>
      </c>
      <c r="F3" t="s">
        <v>12</v>
      </c>
      <c r="L3" t="s">
        <v>505</v>
      </c>
    </row>
    <row r="4" spans="1:18" x14ac:dyDescent="0.25">
      <c r="A4" s="206" t="s">
        <v>586</v>
      </c>
      <c r="B4" s="207">
        <v>34</v>
      </c>
      <c r="C4" s="205">
        <v>45</v>
      </c>
      <c r="D4" s="208">
        <v>40</v>
      </c>
    </row>
    <row r="5" spans="1:18" ht="15.75" thickBot="1" x14ac:dyDescent="0.3">
      <c r="A5" s="78"/>
      <c r="B5" s="107">
        <v>56</v>
      </c>
      <c r="C5" s="7">
        <v>76</v>
      </c>
      <c r="D5" s="108">
        <v>39</v>
      </c>
      <c r="F5" t="s">
        <v>502</v>
      </c>
      <c r="G5" t="str">
        <f>IF(COUNTIF(G7:I9,G7)=COUNT(G7:I9),"balanced","unbalanced")</f>
        <v>balanced</v>
      </c>
      <c r="L5" t="s">
        <v>84</v>
      </c>
      <c r="P5" s="236" t="s">
        <v>17</v>
      </c>
      <c r="Q5" s="236">
        <v>0.05</v>
      </c>
    </row>
    <row r="6" spans="1:18" ht="15.75" thickTop="1" x14ac:dyDescent="0.25">
      <c r="A6" s="78"/>
      <c r="B6" s="107">
        <v>78</v>
      </c>
      <c r="C6" s="7">
        <v>65</v>
      </c>
      <c r="D6" s="108">
        <v>78</v>
      </c>
      <c r="G6" s="236" t="str">
        <f>B3</f>
        <v>Office A</v>
      </c>
      <c r="H6" s="236" t="str">
        <f>C3</f>
        <v>Office B</v>
      </c>
      <c r="I6" s="236" t="str">
        <f>D3</f>
        <v>Office C</v>
      </c>
      <c r="L6" s="191"/>
      <c r="M6" s="191" t="s">
        <v>76</v>
      </c>
      <c r="N6" s="191" t="s">
        <v>37</v>
      </c>
      <c r="O6" s="191" t="s">
        <v>78</v>
      </c>
      <c r="P6" s="191" t="s">
        <v>68</v>
      </c>
      <c r="Q6" s="191" t="s">
        <v>43</v>
      </c>
      <c r="R6" s="191" t="s">
        <v>111</v>
      </c>
    </row>
    <row r="7" spans="1:18" x14ac:dyDescent="0.25">
      <c r="A7" s="78"/>
      <c r="B7" s="107">
        <v>67</v>
      </c>
      <c r="C7" s="23">
        <v>52</v>
      </c>
      <c r="D7" s="108">
        <v>24</v>
      </c>
      <c r="F7" t="str">
        <f>A4</f>
        <v>Conflict</v>
      </c>
      <c r="G7" s="203">
        <f>COUNT(B4:B13)</f>
        <v>10</v>
      </c>
      <c r="H7" s="187">
        <f>COUNT(C4:C13)</f>
        <v>10</v>
      </c>
      <c r="I7" s="204">
        <f>COUNT(D4:D13)</f>
        <v>10</v>
      </c>
      <c r="J7">
        <f>COUNT(B4:D13)</f>
        <v>30</v>
      </c>
      <c r="L7" t="s">
        <v>69</v>
      </c>
      <c r="M7">
        <f>DEVSQ(J14:J16)*J7</f>
        <v>1559.7555555555568</v>
      </c>
      <c r="N7">
        <f>COUNT(J14:J16)-1</f>
        <v>2</v>
      </c>
      <c r="O7">
        <f>M7/N7</f>
        <v>779.87777777777842</v>
      </c>
      <c r="P7">
        <f>O7/O10</f>
        <v>3.6459503292720257</v>
      </c>
      <c r="Q7">
        <f>FDIST(P7,N7,N10)</f>
        <v>3.0468297868075922E-2</v>
      </c>
      <c r="R7" s="236" t="str">
        <f>IF(Q7&lt;Q5,"yes","no")</f>
        <v>yes</v>
      </c>
    </row>
    <row r="8" spans="1:18" x14ac:dyDescent="0.25">
      <c r="A8" s="78"/>
      <c r="B8" s="107">
        <v>61</v>
      </c>
      <c r="C8" s="23">
        <v>23</v>
      </c>
      <c r="D8" s="108">
        <v>59</v>
      </c>
      <c r="F8" t="str">
        <f>A14</f>
        <v>Psychol</v>
      </c>
      <c r="G8" s="76">
        <f>COUNT(B14:B23)</f>
        <v>10</v>
      </c>
      <c r="H8" s="7">
        <f>COUNT(C14:C23)</f>
        <v>10</v>
      </c>
      <c r="I8" s="35">
        <f>COUNT(D14:D23)</f>
        <v>10</v>
      </c>
      <c r="J8">
        <f>COUNT(B14:D23)</f>
        <v>30</v>
      </c>
      <c r="L8" t="s">
        <v>123</v>
      </c>
      <c r="M8">
        <f>DEVSQ(G17:I17)*G10</f>
        <v>225.35555555555558</v>
      </c>
      <c r="N8">
        <f>COUNT(G17:I17)-1</f>
        <v>2</v>
      </c>
      <c r="O8">
        <f>M8/N8</f>
        <v>112.67777777777779</v>
      </c>
      <c r="P8">
        <f>O8/O10</f>
        <v>0.52677174897986268</v>
      </c>
      <c r="Q8">
        <f>FDIST(P8,N8,N10)</f>
        <v>0.59251719577672746</v>
      </c>
      <c r="R8" s="236" t="str">
        <f>IF(Q8&lt;Q5,"yes","no")</f>
        <v>no</v>
      </c>
    </row>
    <row r="9" spans="1:18" x14ac:dyDescent="0.25">
      <c r="A9" s="78"/>
      <c r="B9" s="107">
        <v>48</v>
      </c>
      <c r="C9" s="23">
        <v>73</v>
      </c>
      <c r="D9" s="108">
        <v>53</v>
      </c>
      <c r="F9" t="str">
        <f>A24</f>
        <v>Negot</v>
      </c>
      <c r="G9" s="182">
        <f>COUNT(B24:B33)</f>
        <v>10</v>
      </c>
      <c r="H9" s="183">
        <f>COUNT(C24:C33)</f>
        <v>10</v>
      </c>
      <c r="I9" s="184">
        <f>COUNT(D24:D33)</f>
        <v>10</v>
      </c>
      <c r="J9">
        <f>COUNT(B24:D33)</f>
        <v>30</v>
      </c>
      <c r="L9" t="s">
        <v>432</v>
      </c>
      <c r="M9">
        <f>M11-M7-M8-M10</f>
        <v>3911.7777777777701</v>
      </c>
      <c r="N9">
        <f>N8*N7</f>
        <v>4</v>
      </c>
      <c r="O9">
        <f>M9/N9</f>
        <v>977.94444444444252</v>
      </c>
      <c r="P9">
        <f>O9/O10</f>
        <v>4.571917511730847</v>
      </c>
      <c r="Q9">
        <f>FDIST(P9,N9,N10)</f>
        <v>2.2219531604923833E-3</v>
      </c>
      <c r="R9" s="236" t="str">
        <f>IF(Q9&lt;Q5,"yes","no")</f>
        <v>yes</v>
      </c>
    </row>
    <row r="10" spans="1:18" x14ac:dyDescent="0.25">
      <c r="A10" s="78"/>
      <c r="B10" s="107">
        <v>72</v>
      </c>
      <c r="C10" s="23">
        <v>68</v>
      </c>
      <c r="D10" s="108">
        <v>51</v>
      </c>
      <c r="G10">
        <f>COUNT(B4:B33)</f>
        <v>30</v>
      </c>
      <c r="H10">
        <f>COUNT(C4:C33)</f>
        <v>30</v>
      </c>
      <c r="I10">
        <f>COUNT(D4:D33)</f>
        <v>30</v>
      </c>
      <c r="J10">
        <f>COUNT(B4:D33)</f>
        <v>90</v>
      </c>
      <c r="L10" t="s">
        <v>124</v>
      </c>
      <c r="M10">
        <f>SUM(G21:I23)*(G7-1)</f>
        <v>17326.100000000002</v>
      </c>
      <c r="N10">
        <f>N11-N7-N8-N9</f>
        <v>81</v>
      </c>
      <c r="O10">
        <f>M10/N10</f>
        <v>213.90246913580251</v>
      </c>
    </row>
    <row r="11" spans="1:18" x14ac:dyDescent="0.25">
      <c r="A11" s="78"/>
      <c r="B11" s="107">
        <v>51</v>
      </c>
      <c r="C11" s="23">
        <v>71</v>
      </c>
      <c r="D11" s="108">
        <v>32</v>
      </c>
      <c r="L11" s="185" t="s">
        <v>1</v>
      </c>
      <c r="M11" s="185">
        <f>O11*N11</f>
        <v>23022.988888888882</v>
      </c>
      <c r="N11" s="185">
        <f>J10-1</f>
        <v>89</v>
      </c>
      <c r="O11" s="185">
        <f>J24</f>
        <v>258.68526841448181</v>
      </c>
      <c r="P11" s="185"/>
      <c r="Q11" s="185"/>
      <c r="R11" s="185"/>
    </row>
    <row r="12" spans="1:18" x14ac:dyDescent="0.25">
      <c r="A12" s="78"/>
      <c r="B12" s="107">
        <v>52</v>
      </c>
      <c r="C12" s="23">
        <v>59</v>
      </c>
      <c r="D12" s="108">
        <v>41</v>
      </c>
      <c r="F12" t="s">
        <v>125</v>
      </c>
    </row>
    <row r="13" spans="1:18" x14ac:dyDescent="0.25">
      <c r="A13" s="78"/>
      <c r="B13" s="52">
        <v>60</v>
      </c>
      <c r="C13" s="185">
        <v>80</v>
      </c>
      <c r="D13" s="56">
        <v>45</v>
      </c>
      <c r="G13" s="236" t="str">
        <f>B3</f>
        <v>Office A</v>
      </c>
      <c r="H13" s="236" t="str">
        <f>C3</f>
        <v>Office B</v>
      </c>
      <c r="I13" s="236" t="str">
        <f>D3</f>
        <v>Office C</v>
      </c>
      <c r="L13" t="s">
        <v>609</v>
      </c>
    </row>
    <row r="14" spans="1:18" x14ac:dyDescent="0.25">
      <c r="A14" s="206" t="s">
        <v>587</v>
      </c>
      <c r="B14" s="207">
        <v>46</v>
      </c>
      <c r="C14" s="205">
        <v>23</v>
      </c>
      <c r="D14" s="208">
        <v>75</v>
      </c>
      <c r="F14" t="str">
        <f>A4</f>
        <v>Conflict</v>
      </c>
      <c r="G14" s="203">
        <f>AVERAGE(B4:B13)</f>
        <v>57.9</v>
      </c>
      <c r="H14" s="187">
        <f>AVERAGE(C4:C13)</f>
        <v>61.2</v>
      </c>
      <c r="I14" s="204">
        <f>AVERAGE(D4:D13)</f>
        <v>46.2</v>
      </c>
      <c r="J14">
        <f>AVERAGE(B4:D13)</f>
        <v>55.1</v>
      </c>
    </row>
    <row r="15" spans="1:18" ht="15.75" thickBot="1" x14ac:dyDescent="0.3">
      <c r="A15" s="78"/>
      <c r="B15" s="107">
        <v>32</v>
      </c>
      <c r="C15" s="23">
        <v>56</v>
      </c>
      <c r="D15" s="108">
        <v>57</v>
      </c>
      <c r="F15" t="str">
        <f>A14</f>
        <v>Psychol</v>
      </c>
      <c r="G15" s="76">
        <f>AVERAGE(B14:B23)</f>
        <v>47.1</v>
      </c>
      <c r="H15" s="7">
        <f>AVERAGE(C14:C23)</f>
        <v>38.799999999999997</v>
      </c>
      <c r="I15" s="35">
        <f>AVERAGE(D14:D23)</f>
        <v>48.9</v>
      </c>
      <c r="J15">
        <f>AVERAGE(B14:D23)</f>
        <v>44.93333333333333</v>
      </c>
      <c r="L15" t="s">
        <v>84</v>
      </c>
      <c r="P15" s="236" t="s">
        <v>17</v>
      </c>
      <c r="Q15" s="236">
        <v>0.05</v>
      </c>
    </row>
    <row r="16" spans="1:18" ht="15.75" thickTop="1" x14ac:dyDescent="0.25">
      <c r="A16" s="78"/>
      <c r="B16" s="107">
        <v>56</v>
      </c>
      <c r="C16" s="23">
        <v>61</v>
      </c>
      <c r="D16" s="108">
        <v>63</v>
      </c>
      <c r="F16" t="str">
        <f>A24</f>
        <v>Negot</v>
      </c>
      <c r="G16" s="182">
        <f>AVERAGE(B24:B33)</f>
        <v>38.799999999999997</v>
      </c>
      <c r="H16" s="183">
        <f>AVERAGE(C24:C33)</f>
        <v>48.9</v>
      </c>
      <c r="I16" s="184">
        <f>AVERAGE(D24:D33)</f>
        <v>60.3</v>
      </c>
      <c r="J16">
        <f>AVERAGE(B24:D33)</f>
        <v>49.333333333333336</v>
      </c>
      <c r="L16" s="191"/>
      <c r="M16" s="191" t="s">
        <v>76</v>
      </c>
      <c r="N16" s="191" t="s">
        <v>37</v>
      </c>
      <c r="O16" s="191" t="s">
        <v>78</v>
      </c>
      <c r="P16" s="191" t="s">
        <v>68</v>
      </c>
      <c r="Q16" s="191" t="s">
        <v>43</v>
      </c>
      <c r="R16" s="191" t="s">
        <v>111</v>
      </c>
    </row>
    <row r="17" spans="1:18" x14ac:dyDescent="0.25">
      <c r="A17" s="78"/>
      <c r="B17" s="107">
        <v>52</v>
      </c>
      <c r="C17" s="23">
        <v>34</v>
      </c>
      <c r="D17" s="108">
        <v>25</v>
      </c>
      <c r="G17">
        <f>AVERAGE(B4:B33)</f>
        <v>47.93333333333333</v>
      </c>
      <c r="H17">
        <f>AVERAGE(C4:C33)</f>
        <v>49.633333333333333</v>
      </c>
      <c r="I17">
        <f>AVERAGE(D4:D33)</f>
        <v>51.8</v>
      </c>
      <c r="J17">
        <f>AVERAGE(B4:D33)</f>
        <v>49.788888888888891</v>
      </c>
      <c r="L17" t="s">
        <v>69</v>
      </c>
      <c r="M17">
        <f>M7</f>
        <v>1559.7555555555568</v>
      </c>
      <c r="N17">
        <f>N7</f>
        <v>2</v>
      </c>
      <c r="O17">
        <f>M17/N17</f>
        <v>779.87777777777842</v>
      </c>
      <c r="P17">
        <f>O17/O18</f>
        <v>1.1310408173131183</v>
      </c>
      <c r="Q17">
        <f>FDIST(P17,N17,N18)</f>
        <v>0.38298812278184158</v>
      </c>
      <c r="R17" s="236" t="str">
        <f>IF(Q17&lt;Q15,"yes","no")</f>
        <v>no</v>
      </c>
    </row>
    <row r="18" spans="1:18" x14ac:dyDescent="0.25">
      <c r="A18" s="78"/>
      <c r="B18" s="107">
        <v>79</v>
      </c>
      <c r="C18" s="23">
        <v>28</v>
      </c>
      <c r="D18" s="108">
        <v>60</v>
      </c>
      <c r="L18" t="s">
        <v>610</v>
      </c>
      <c r="M18">
        <f>M8+M9</f>
        <v>4137.1333333333259</v>
      </c>
      <c r="N18">
        <f>N8+N9</f>
        <v>6</v>
      </c>
      <c r="O18">
        <f>M18/N18</f>
        <v>689.52222222222099</v>
      </c>
      <c r="P18">
        <f>O18/O19</f>
        <v>3.2235355908138525</v>
      </c>
      <c r="Q18">
        <f>FDIST(P18,N18,N19)</f>
        <v>6.8567138371657876E-3</v>
      </c>
      <c r="R18" s="236" t="str">
        <f>IF(Q18&lt;Q15,"yes","no")</f>
        <v>yes</v>
      </c>
    </row>
    <row r="19" spans="1:18" x14ac:dyDescent="0.25">
      <c r="A19" s="78"/>
      <c r="B19" s="107">
        <v>28</v>
      </c>
      <c r="C19" s="23">
        <v>35</v>
      </c>
      <c r="D19" s="108">
        <v>52</v>
      </c>
      <c r="F19" t="s">
        <v>503</v>
      </c>
      <c r="L19" t="s">
        <v>124</v>
      </c>
      <c r="M19">
        <f>M10</f>
        <v>17326.100000000002</v>
      </c>
      <c r="N19">
        <f>N10</f>
        <v>81</v>
      </c>
      <c r="O19">
        <f>M19/N19</f>
        <v>213.90246913580251</v>
      </c>
    </row>
    <row r="20" spans="1:18" x14ac:dyDescent="0.25">
      <c r="A20" s="78"/>
      <c r="B20" s="107">
        <v>36</v>
      </c>
      <c r="C20" s="23">
        <v>30</v>
      </c>
      <c r="D20" s="108">
        <v>45</v>
      </c>
      <c r="G20" s="236" t="str">
        <f>B3</f>
        <v>Office A</v>
      </c>
      <c r="H20" s="236" t="str">
        <f>C3</f>
        <v>Office B</v>
      </c>
      <c r="I20" s="236" t="str">
        <f>D3</f>
        <v>Office C</v>
      </c>
      <c r="L20" s="185" t="s">
        <v>1</v>
      </c>
      <c r="M20" s="185">
        <f>M11</f>
        <v>23022.988888888882</v>
      </c>
      <c r="N20" s="185">
        <f>N11</f>
        <v>89</v>
      </c>
      <c r="O20" s="185">
        <f>M20/N20</f>
        <v>258.68526841448181</v>
      </c>
      <c r="P20" s="185"/>
      <c r="Q20" s="185"/>
      <c r="R20" s="185"/>
    </row>
    <row r="21" spans="1:18" x14ac:dyDescent="0.25">
      <c r="A21" s="78"/>
      <c r="B21" s="107">
        <v>41</v>
      </c>
      <c r="C21" s="23">
        <v>46</v>
      </c>
      <c r="D21" s="108">
        <v>48</v>
      </c>
      <c r="F21" t="str">
        <f>A4</f>
        <v>Conflict</v>
      </c>
      <c r="G21" s="203">
        <f>VAR(B4:B13)</f>
        <v>161.65555555555571</v>
      </c>
      <c r="H21" s="187">
        <f>VAR(C4:C13)</f>
        <v>297.73333333333318</v>
      </c>
      <c r="I21" s="204">
        <f>VAR(D4:D13)</f>
        <v>228.62222222222206</v>
      </c>
      <c r="J21">
        <f>VAR(B4:D13)</f>
        <v>256.36896551724129</v>
      </c>
    </row>
    <row r="22" spans="1:18" x14ac:dyDescent="0.25">
      <c r="A22" s="78"/>
      <c r="B22" s="107">
        <v>64</v>
      </c>
      <c r="C22" s="23">
        <v>41</v>
      </c>
      <c r="D22" s="108">
        <v>38</v>
      </c>
      <c r="F22" t="str">
        <f>A14</f>
        <v>Psychol</v>
      </c>
      <c r="G22" s="76">
        <f>VAR(B14:B23)</f>
        <v>251.43333333333351</v>
      </c>
      <c r="H22" s="7">
        <f>VAR(C14:C23)</f>
        <v>149.95555555555561</v>
      </c>
      <c r="I22" s="35">
        <f>VAR(D14:D23)</f>
        <v>256.54444444444459</v>
      </c>
      <c r="J22">
        <f>VAR(B14:D23)</f>
        <v>224.20229885057478</v>
      </c>
    </row>
    <row r="23" spans="1:18" x14ac:dyDescent="0.25">
      <c r="A23" s="58"/>
      <c r="B23" s="52">
        <v>37</v>
      </c>
      <c r="C23" s="185">
        <v>34</v>
      </c>
      <c r="D23" s="56">
        <v>26</v>
      </c>
      <c r="F23" t="str">
        <f>A24</f>
        <v>Negot</v>
      </c>
      <c r="G23" s="182">
        <f>VAR(B24:B33)</f>
        <v>149.95555555555561</v>
      </c>
      <c r="H23" s="183">
        <f>VAR(C24:C33)</f>
        <v>256.54444444444459</v>
      </c>
      <c r="I23" s="184">
        <f>VAR(D24:D33)</f>
        <v>172.67777777777761</v>
      </c>
      <c r="J23">
        <f>VAR(B24:D33)</f>
        <v>259.54022988505761</v>
      </c>
    </row>
    <row r="24" spans="1:18" x14ac:dyDescent="0.25">
      <c r="A24" s="78" t="s">
        <v>585</v>
      </c>
      <c r="B24" s="107">
        <v>23</v>
      </c>
      <c r="C24" s="7">
        <v>75</v>
      </c>
      <c r="D24" s="108">
        <v>55</v>
      </c>
      <c r="G24">
        <f>VAR(B4:B33)</f>
        <v>237.99540229885065</v>
      </c>
      <c r="H24">
        <f>VAR(C4:C33)</f>
        <v>305.3436781609193</v>
      </c>
      <c r="I24">
        <f>VAR(D4:D33)</f>
        <v>242.78620689655182</v>
      </c>
      <c r="J24">
        <f>VAR(B4:D33)</f>
        <v>258.68526841448181</v>
      </c>
    </row>
    <row r="25" spans="1:18" x14ac:dyDescent="0.25">
      <c r="A25" s="78"/>
      <c r="B25" s="131">
        <v>56</v>
      </c>
      <c r="C25" s="7">
        <v>57</v>
      </c>
      <c r="D25" s="108">
        <v>73</v>
      </c>
    </row>
    <row r="26" spans="1:18" x14ac:dyDescent="0.25">
      <c r="A26" s="78"/>
      <c r="B26" s="131">
        <v>61</v>
      </c>
      <c r="C26" s="7">
        <v>63</v>
      </c>
      <c r="D26" s="108">
        <v>69</v>
      </c>
    </row>
    <row r="27" spans="1:18" x14ac:dyDescent="0.25">
      <c r="A27" s="78"/>
      <c r="B27" s="131">
        <v>34</v>
      </c>
      <c r="C27" s="7">
        <v>25</v>
      </c>
      <c r="D27" s="108">
        <v>64</v>
      </c>
    </row>
    <row r="28" spans="1:18" x14ac:dyDescent="0.25">
      <c r="A28" s="78"/>
      <c r="B28" s="131">
        <v>28</v>
      </c>
      <c r="C28" s="7">
        <v>60</v>
      </c>
      <c r="D28" s="108">
        <v>59</v>
      </c>
    </row>
    <row r="29" spans="1:18" x14ac:dyDescent="0.25">
      <c r="A29" s="78"/>
      <c r="B29" s="131">
        <v>35</v>
      </c>
      <c r="C29" s="7">
        <v>52</v>
      </c>
      <c r="D29" s="108">
        <v>62</v>
      </c>
    </row>
    <row r="30" spans="1:18" x14ac:dyDescent="0.25">
      <c r="A30" s="78"/>
      <c r="B30" s="131">
        <v>30</v>
      </c>
      <c r="C30" s="7">
        <v>45</v>
      </c>
      <c r="D30" s="108">
        <v>67</v>
      </c>
    </row>
    <row r="31" spans="1:18" x14ac:dyDescent="0.25">
      <c r="A31" s="78"/>
      <c r="B31" s="131">
        <v>46</v>
      </c>
      <c r="C31" s="7">
        <v>48</v>
      </c>
      <c r="D31" s="108">
        <v>31</v>
      </c>
    </row>
    <row r="32" spans="1:18" x14ac:dyDescent="0.25">
      <c r="A32" s="78"/>
      <c r="B32" s="131">
        <v>41</v>
      </c>
      <c r="C32" s="7">
        <v>38</v>
      </c>
      <c r="D32" s="108">
        <v>48</v>
      </c>
    </row>
    <row r="33" spans="1:4" x14ac:dyDescent="0.25">
      <c r="A33" s="58"/>
      <c r="B33" s="52">
        <v>34</v>
      </c>
      <c r="C33" s="185">
        <v>26</v>
      </c>
      <c r="D33" s="56">
        <v>75</v>
      </c>
    </row>
  </sheetData>
  <pageMargins left="0.7" right="0.7" top="0.75" bottom="0.75" header="0.3" footer="0.3"/>
  <ignoredErrors>
    <ignoredError sqref="G7:I23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8"/>
  <dimension ref="A1:R33"/>
  <sheetViews>
    <sheetView workbookViewId="0"/>
  </sheetViews>
  <sheetFormatPr defaultRowHeight="15" x14ac:dyDescent="0.25"/>
  <cols>
    <col min="12" max="12" width="13.5703125" customWidth="1"/>
  </cols>
  <sheetData>
    <row r="1" spans="1:18" x14ac:dyDescent="0.25">
      <c r="A1" s="1" t="s">
        <v>613</v>
      </c>
    </row>
    <row r="3" spans="1:18" x14ac:dyDescent="0.25">
      <c r="B3" s="232" t="s">
        <v>589</v>
      </c>
      <c r="C3" s="231" t="s">
        <v>590</v>
      </c>
      <c r="D3" s="233" t="s">
        <v>591</v>
      </c>
      <c r="F3" t="s">
        <v>12</v>
      </c>
      <c r="L3" t="s">
        <v>609</v>
      </c>
    </row>
    <row r="4" spans="1:18" x14ac:dyDescent="0.25">
      <c r="A4" s="206" t="s">
        <v>586</v>
      </c>
      <c r="B4" s="207">
        <v>34</v>
      </c>
      <c r="C4" s="205">
        <v>45</v>
      </c>
      <c r="D4" s="208">
        <v>40</v>
      </c>
    </row>
    <row r="5" spans="1:18" ht="15.75" thickBot="1" x14ac:dyDescent="0.3">
      <c r="A5" s="78"/>
      <c r="B5" s="107">
        <v>56</v>
      </c>
      <c r="C5" s="7">
        <v>76</v>
      </c>
      <c r="D5" s="108">
        <v>39</v>
      </c>
      <c r="F5" t="s">
        <v>502</v>
      </c>
      <c r="G5" t="str">
        <f>IF(COUNTIF(G7:I9,G7)=COUNT(G7:I9),"balanced","unbalanced")</f>
        <v>balanced</v>
      </c>
      <c r="L5" t="s">
        <v>84</v>
      </c>
      <c r="P5" s="230" t="s">
        <v>17</v>
      </c>
      <c r="Q5" s="230">
        <v>0.05</v>
      </c>
    </row>
    <row r="6" spans="1:18" ht="15.75" thickTop="1" x14ac:dyDescent="0.25">
      <c r="A6" s="78"/>
      <c r="B6" s="107">
        <v>78</v>
      </c>
      <c r="C6" s="7">
        <v>65</v>
      </c>
      <c r="D6" s="108">
        <v>78</v>
      </c>
      <c r="G6" s="230" t="str">
        <f>B3</f>
        <v>Office A</v>
      </c>
      <c r="H6" s="230" t="str">
        <f>C3</f>
        <v>Office B</v>
      </c>
      <c r="I6" s="230" t="str">
        <f>D3</f>
        <v>Office C</v>
      </c>
      <c r="L6" s="191"/>
      <c r="M6" s="191" t="s">
        <v>76</v>
      </c>
      <c r="N6" s="191" t="s">
        <v>37</v>
      </c>
      <c r="O6" s="191" t="s">
        <v>78</v>
      </c>
      <c r="P6" s="191" t="s">
        <v>68</v>
      </c>
      <c r="Q6" s="191" t="s">
        <v>43</v>
      </c>
      <c r="R6" s="191" t="s">
        <v>111</v>
      </c>
    </row>
    <row r="7" spans="1:18" x14ac:dyDescent="0.25">
      <c r="A7" s="78"/>
      <c r="B7" s="107">
        <v>67</v>
      </c>
      <c r="C7" s="23">
        <v>52</v>
      </c>
      <c r="D7" s="108">
        <v>24</v>
      </c>
      <c r="F7" t="str">
        <f>A4</f>
        <v>Conflict</v>
      </c>
      <c r="G7" s="203">
        <f>COUNT(B4:B13)</f>
        <v>10</v>
      </c>
      <c r="H7" s="187">
        <f>COUNT(C4:C13)</f>
        <v>10</v>
      </c>
      <c r="I7" s="204">
        <f>COUNT(D4:D13)</f>
        <v>10</v>
      </c>
      <c r="J7">
        <f>COUNT(B4:D13)</f>
        <v>30</v>
      </c>
      <c r="L7" t="s">
        <v>69</v>
      </c>
      <c r="M7">
        <f>DEVSQ(J14:J16)*J7</f>
        <v>1559.7555555555568</v>
      </c>
      <c r="N7">
        <f>COUNT(J14:J16)-1</f>
        <v>2</v>
      </c>
      <c r="O7">
        <f>M7/N7</f>
        <v>779.87777777777842</v>
      </c>
      <c r="P7">
        <f>O7/O8</f>
        <v>1.1310408173131188</v>
      </c>
      <c r="Q7">
        <f>FDIST(P7,N7,N8)</f>
        <v>0.38298812278184119</v>
      </c>
      <c r="R7" s="230" t="str">
        <f>IF(Q7&lt;Q5,"yes","no")</f>
        <v>no</v>
      </c>
    </row>
    <row r="8" spans="1:18" x14ac:dyDescent="0.25">
      <c r="A8" s="78"/>
      <c r="B8" s="107">
        <v>61</v>
      </c>
      <c r="C8" s="23">
        <v>23</v>
      </c>
      <c r="D8" s="108">
        <v>59</v>
      </c>
      <c r="F8" t="str">
        <f>A14</f>
        <v>Psychol</v>
      </c>
      <c r="G8" s="76">
        <f>COUNT(B14:B23)</f>
        <v>10</v>
      </c>
      <c r="H8" s="7">
        <f>COUNT(C14:C23)</f>
        <v>10</v>
      </c>
      <c r="I8" s="35">
        <f>COUNT(D14:D23)</f>
        <v>10</v>
      </c>
      <c r="J8">
        <f>COUNT(B14:D23)</f>
        <v>30</v>
      </c>
      <c r="L8" t="s">
        <v>610</v>
      </c>
      <c r="M8">
        <f>M10-M7-M9</f>
        <v>4137.1333333333241</v>
      </c>
      <c r="N8">
        <f>(COUNT(G17:I17)-1)*(N7+1)</f>
        <v>6</v>
      </c>
      <c r="O8">
        <f>M8/N8</f>
        <v>689.52222222222065</v>
      </c>
      <c r="P8">
        <f>O8/O9</f>
        <v>3.2235355908138508</v>
      </c>
      <c r="Q8">
        <f>FDIST(P8,N8,N9)</f>
        <v>6.8567138371658093E-3</v>
      </c>
      <c r="R8" s="230" t="str">
        <f>IF(Q8&lt;Q5,"yes","no")</f>
        <v>yes</v>
      </c>
    </row>
    <row r="9" spans="1:18" x14ac:dyDescent="0.25">
      <c r="A9" s="78"/>
      <c r="B9" s="107">
        <v>48</v>
      </c>
      <c r="C9" s="23">
        <v>73</v>
      </c>
      <c r="D9" s="108">
        <v>53</v>
      </c>
      <c r="F9" t="str">
        <f>A24</f>
        <v>Negot</v>
      </c>
      <c r="G9" s="182">
        <f>COUNT(B24:B33)</f>
        <v>10</v>
      </c>
      <c r="H9" s="183">
        <f>COUNT(C24:C33)</f>
        <v>10</v>
      </c>
      <c r="I9" s="184">
        <f>COUNT(D24:D33)</f>
        <v>10</v>
      </c>
      <c r="J9">
        <f>COUNT(B24:D33)</f>
        <v>30</v>
      </c>
      <c r="L9" t="s">
        <v>124</v>
      </c>
      <c r="M9">
        <f>SUM(G21:I23)*(G7-1)</f>
        <v>17326.100000000002</v>
      </c>
      <c r="N9">
        <f>N10-N7-N8</f>
        <v>81</v>
      </c>
      <c r="O9">
        <f>M9/N9</f>
        <v>213.90246913580251</v>
      </c>
    </row>
    <row r="10" spans="1:18" x14ac:dyDescent="0.25">
      <c r="A10" s="78"/>
      <c r="B10" s="107">
        <v>72</v>
      </c>
      <c r="C10" s="23">
        <v>68</v>
      </c>
      <c r="D10" s="108">
        <v>51</v>
      </c>
      <c r="G10">
        <f>COUNT(B4:B33)</f>
        <v>30</v>
      </c>
      <c r="H10">
        <f>COUNT(C4:C33)</f>
        <v>30</v>
      </c>
      <c r="I10">
        <f>COUNT(D4:D33)</f>
        <v>30</v>
      </c>
      <c r="J10">
        <f>COUNT(B4:D33)</f>
        <v>90</v>
      </c>
      <c r="L10" s="185" t="s">
        <v>1</v>
      </c>
      <c r="M10" s="185">
        <f>O10*N10</f>
        <v>23022.988888888882</v>
      </c>
      <c r="N10" s="185">
        <f>J10-1</f>
        <v>89</v>
      </c>
      <c r="O10" s="185">
        <f>J24</f>
        <v>258.68526841448181</v>
      </c>
      <c r="P10" s="185"/>
      <c r="Q10" s="185"/>
      <c r="R10" s="185"/>
    </row>
    <row r="11" spans="1:18" x14ac:dyDescent="0.25">
      <c r="A11" s="78"/>
      <c r="B11" s="107">
        <v>51</v>
      </c>
      <c r="C11" s="23">
        <v>71</v>
      </c>
      <c r="D11" s="108">
        <v>32</v>
      </c>
    </row>
    <row r="12" spans="1:18" x14ac:dyDescent="0.25">
      <c r="A12" s="78"/>
      <c r="B12" s="107">
        <v>52</v>
      </c>
      <c r="C12" s="23">
        <v>59</v>
      </c>
      <c r="D12" s="108">
        <v>41</v>
      </c>
      <c r="F12" t="s">
        <v>125</v>
      </c>
    </row>
    <row r="13" spans="1:18" x14ac:dyDescent="0.25">
      <c r="A13" s="78"/>
      <c r="B13" s="52">
        <v>60</v>
      </c>
      <c r="C13" s="185">
        <v>80</v>
      </c>
      <c r="D13" s="56">
        <v>45</v>
      </c>
      <c r="G13" s="230" t="str">
        <f>B3</f>
        <v>Office A</v>
      </c>
      <c r="H13" s="230" t="str">
        <f>C3</f>
        <v>Office B</v>
      </c>
      <c r="I13" s="230" t="str">
        <f>D3</f>
        <v>Office C</v>
      </c>
    </row>
    <row r="14" spans="1:18" x14ac:dyDescent="0.25">
      <c r="A14" s="206" t="s">
        <v>587</v>
      </c>
      <c r="B14" s="207">
        <v>46</v>
      </c>
      <c r="C14" s="205">
        <v>23</v>
      </c>
      <c r="D14" s="208">
        <v>75</v>
      </c>
      <c r="F14" t="str">
        <f>A4</f>
        <v>Conflict</v>
      </c>
      <c r="G14" s="203">
        <f>AVERAGE(B4:B13)</f>
        <v>57.9</v>
      </c>
      <c r="H14" s="187">
        <f>AVERAGE(C4:C13)</f>
        <v>61.2</v>
      </c>
      <c r="I14" s="204">
        <f>AVERAGE(D4:D13)</f>
        <v>46.2</v>
      </c>
      <c r="J14">
        <f>AVERAGE(B4:D13)</f>
        <v>55.1</v>
      </c>
    </row>
    <row r="15" spans="1:18" x14ac:dyDescent="0.25">
      <c r="A15" s="78"/>
      <c r="B15" s="107">
        <v>32</v>
      </c>
      <c r="C15" s="23">
        <v>56</v>
      </c>
      <c r="D15" s="108">
        <v>57</v>
      </c>
      <c r="F15" t="str">
        <f>A14</f>
        <v>Psychol</v>
      </c>
      <c r="G15" s="76">
        <f>AVERAGE(B14:B23)</f>
        <v>47.1</v>
      </c>
      <c r="H15" s="7">
        <f>AVERAGE(C14:C23)</f>
        <v>38.799999999999997</v>
      </c>
      <c r="I15" s="35">
        <f>AVERAGE(D14:D23)</f>
        <v>48.9</v>
      </c>
      <c r="J15">
        <f>AVERAGE(B14:D23)</f>
        <v>44.93333333333333</v>
      </c>
    </row>
    <row r="16" spans="1:18" x14ac:dyDescent="0.25">
      <c r="A16" s="78"/>
      <c r="B16" s="107">
        <v>56</v>
      </c>
      <c r="C16" s="23">
        <v>61</v>
      </c>
      <c r="D16" s="108">
        <v>63</v>
      </c>
      <c r="F16" t="str">
        <f>A24</f>
        <v>Negot</v>
      </c>
      <c r="G16" s="182">
        <f>AVERAGE(B24:B33)</f>
        <v>38.799999999999997</v>
      </c>
      <c r="H16" s="183">
        <f>AVERAGE(C24:C33)</f>
        <v>48.9</v>
      </c>
      <c r="I16" s="184">
        <f>AVERAGE(D24:D33)</f>
        <v>60.3</v>
      </c>
      <c r="J16">
        <f>AVERAGE(B24:D33)</f>
        <v>49.333333333333336</v>
      </c>
    </row>
    <row r="17" spans="1:10" x14ac:dyDescent="0.25">
      <c r="A17" s="78"/>
      <c r="B17" s="107">
        <v>52</v>
      </c>
      <c r="C17" s="23">
        <v>34</v>
      </c>
      <c r="D17" s="108">
        <v>25</v>
      </c>
      <c r="G17">
        <f>AVERAGE(B4:B33)</f>
        <v>47.93333333333333</v>
      </c>
      <c r="H17">
        <f>AVERAGE(C4:C33)</f>
        <v>49.633333333333333</v>
      </c>
      <c r="I17">
        <f>AVERAGE(D4:D33)</f>
        <v>51.8</v>
      </c>
      <c r="J17">
        <f>AVERAGE(B4:D33)</f>
        <v>49.788888888888891</v>
      </c>
    </row>
    <row r="18" spans="1:10" x14ac:dyDescent="0.25">
      <c r="A18" s="78"/>
      <c r="B18" s="107">
        <v>79</v>
      </c>
      <c r="C18" s="23">
        <v>28</v>
      </c>
      <c r="D18" s="108">
        <v>60</v>
      </c>
    </row>
    <row r="19" spans="1:10" x14ac:dyDescent="0.25">
      <c r="A19" s="78"/>
      <c r="B19" s="107">
        <v>28</v>
      </c>
      <c r="C19" s="23">
        <v>35</v>
      </c>
      <c r="D19" s="108">
        <v>52</v>
      </c>
      <c r="F19" t="s">
        <v>503</v>
      </c>
    </row>
    <row r="20" spans="1:10" x14ac:dyDescent="0.25">
      <c r="A20" s="78"/>
      <c r="B20" s="107">
        <v>36</v>
      </c>
      <c r="C20" s="23">
        <v>30</v>
      </c>
      <c r="D20" s="108">
        <v>45</v>
      </c>
      <c r="G20" s="230" t="str">
        <f>B3</f>
        <v>Office A</v>
      </c>
      <c r="H20" s="230" t="str">
        <f>C3</f>
        <v>Office B</v>
      </c>
      <c r="I20" s="230" t="str">
        <f>D3</f>
        <v>Office C</v>
      </c>
    </row>
    <row r="21" spans="1:10" x14ac:dyDescent="0.25">
      <c r="A21" s="78"/>
      <c r="B21" s="107">
        <v>41</v>
      </c>
      <c r="C21" s="23">
        <v>46</v>
      </c>
      <c r="D21" s="108">
        <v>48</v>
      </c>
      <c r="F21" t="str">
        <f>A4</f>
        <v>Conflict</v>
      </c>
      <c r="G21" s="203">
        <f>VAR(B4:B13)</f>
        <v>161.65555555555571</v>
      </c>
      <c r="H21" s="187">
        <f>VAR(C4:C13)</f>
        <v>297.73333333333318</v>
      </c>
      <c r="I21" s="204">
        <f>VAR(D4:D13)</f>
        <v>228.62222222222206</v>
      </c>
      <c r="J21">
        <f>VAR(B4:D13)</f>
        <v>256.36896551724129</v>
      </c>
    </row>
    <row r="22" spans="1:10" x14ac:dyDescent="0.25">
      <c r="A22" s="78"/>
      <c r="B22" s="107">
        <v>64</v>
      </c>
      <c r="C22" s="23">
        <v>41</v>
      </c>
      <c r="D22" s="108">
        <v>38</v>
      </c>
      <c r="F22" t="str">
        <f>A14</f>
        <v>Psychol</v>
      </c>
      <c r="G22" s="76">
        <f>VAR(B14:B23)</f>
        <v>251.43333333333351</v>
      </c>
      <c r="H22" s="7">
        <f>VAR(C14:C23)</f>
        <v>149.95555555555561</v>
      </c>
      <c r="I22" s="35">
        <f>VAR(D14:D23)</f>
        <v>256.54444444444459</v>
      </c>
      <c r="J22">
        <f>VAR(B14:D23)</f>
        <v>224.20229885057478</v>
      </c>
    </row>
    <row r="23" spans="1:10" x14ac:dyDescent="0.25">
      <c r="A23" s="58"/>
      <c r="B23" s="52">
        <v>37</v>
      </c>
      <c r="C23" s="185">
        <v>34</v>
      </c>
      <c r="D23" s="56">
        <v>26</v>
      </c>
      <c r="F23" t="str">
        <f>A24</f>
        <v>Negot</v>
      </c>
      <c r="G23" s="182">
        <f>VAR(B24:B33)</f>
        <v>149.95555555555561</v>
      </c>
      <c r="H23" s="183">
        <f>VAR(C24:C33)</f>
        <v>256.54444444444459</v>
      </c>
      <c r="I23" s="184">
        <f>VAR(D24:D33)</f>
        <v>172.67777777777761</v>
      </c>
      <c r="J23">
        <f>VAR(B24:D33)</f>
        <v>259.54022988505761</v>
      </c>
    </row>
    <row r="24" spans="1:10" x14ac:dyDescent="0.25">
      <c r="A24" s="78" t="s">
        <v>585</v>
      </c>
      <c r="B24" s="107">
        <v>23</v>
      </c>
      <c r="C24" s="7">
        <v>75</v>
      </c>
      <c r="D24" s="108">
        <v>55</v>
      </c>
      <c r="G24">
        <f>VAR(B4:B33)</f>
        <v>237.99540229885065</v>
      </c>
      <c r="H24">
        <f>VAR(C4:C33)</f>
        <v>305.3436781609193</v>
      </c>
      <c r="I24">
        <f>VAR(D4:D33)</f>
        <v>242.78620689655182</v>
      </c>
      <c r="J24">
        <f>VAR(B4:D33)</f>
        <v>258.68526841448181</v>
      </c>
    </row>
    <row r="25" spans="1:10" x14ac:dyDescent="0.25">
      <c r="A25" s="78"/>
      <c r="B25" s="131">
        <v>56</v>
      </c>
      <c r="C25" s="7">
        <v>57</v>
      </c>
      <c r="D25" s="108">
        <v>73</v>
      </c>
    </row>
    <row r="26" spans="1:10" x14ac:dyDescent="0.25">
      <c r="A26" s="78"/>
      <c r="B26" s="131">
        <v>61</v>
      </c>
      <c r="C26" s="7">
        <v>63</v>
      </c>
      <c r="D26" s="108">
        <v>69</v>
      </c>
    </row>
    <row r="27" spans="1:10" x14ac:dyDescent="0.25">
      <c r="A27" s="78"/>
      <c r="B27" s="131">
        <v>34</v>
      </c>
      <c r="C27" s="7">
        <v>25</v>
      </c>
      <c r="D27" s="108">
        <v>64</v>
      </c>
    </row>
    <row r="28" spans="1:10" x14ac:dyDescent="0.25">
      <c r="A28" s="78"/>
      <c r="B28" s="131">
        <v>28</v>
      </c>
      <c r="C28" s="7">
        <v>60</v>
      </c>
      <c r="D28" s="108">
        <v>59</v>
      </c>
    </row>
    <row r="29" spans="1:10" x14ac:dyDescent="0.25">
      <c r="A29" s="78"/>
      <c r="B29" s="131">
        <v>35</v>
      </c>
      <c r="C29" s="7">
        <v>52</v>
      </c>
      <c r="D29" s="108">
        <v>62</v>
      </c>
    </row>
    <row r="30" spans="1:10" x14ac:dyDescent="0.25">
      <c r="A30" s="78"/>
      <c r="B30" s="131">
        <v>30</v>
      </c>
      <c r="C30" s="7">
        <v>45</v>
      </c>
      <c r="D30" s="108">
        <v>67</v>
      </c>
    </row>
    <row r="31" spans="1:10" x14ac:dyDescent="0.25">
      <c r="A31" s="78"/>
      <c r="B31" s="131">
        <v>46</v>
      </c>
      <c r="C31" s="7">
        <v>48</v>
      </c>
      <c r="D31" s="108">
        <v>31</v>
      </c>
    </row>
    <row r="32" spans="1:10" x14ac:dyDescent="0.25">
      <c r="A32" s="78"/>
      <c r="B32" s="131">
        <v>41</v>
      </c>
      <c r="C32" s="7">
        <v>38</v>
      </c>
      <c r="D32" s="108">
        <v>48</v>
      </c>
    </row>
    <row r="33" spans="1:4" x14ac:dyDescent="0.25">
      <c r="A33" s="58"/>
      <c r="B33" s="52">
        <v>34</v>
      </c>
      <c r="C33" s="185">
        <v>26</v>
      </c>
      <c r="D33" s="56">
        <v>75</v>
      </c>
    </row>
  </sheetData>
  <pageMargins left="0.7" right="0.7" top="0.75" bottom="0.75" header="0.3" footer="0.3"/>
  <ignoredErrors>
    <ignoredError sqref="G7:I9 G14:I17 G21:I23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6"/>
  <dimension ref="A1:V47"/>
  <sheetViews>
    <sheetView workbookViewId="0"/>
  </sheetViews>
  <sheetFormatPr defaultRowHeight="15" x14ac:dyDescent="0.25"/>
  <cols>
    <col min="3" max="3" width="5.85546875" customWidth="1"/>
    <col min="9" max="9" width="5.85546875" customWidth="1"/>
    <col min="15" max="15" width="5.85546875" customWidth="1"/>
  </cols>
  <sheetData>
    <row r="1" spans="1:22" x14ac:dyDescent="0.25">
      <c r="A1" s="1" t="s">
        <v>608</v>
      </c>
    </row>
    <row r="3" spans="1:22" x14ac:dyDescent="0.25">
      <c r="A3" s="207" t="s">
        <v>586</v>
      </c>
      <c r="B3" s="205" t="s">
        <v>576</v>
      </c>
      <c r="C3" s="208">
        <v>34</v>
      </c>
      <c r="E3" t="s">
        <v>506</v>
      </c>
      <c r="J3" t="s">
        <v>12</v>
      </c>
      <c r="P3" t="s">
        <v>609</v>
      </c>
    </row>
    <row r="4" spans="1:22" x14ac:dyDescent="0.25">
      <c r="A4" s="107" t="s">
        <v>586</v>
      </c>
      <c r="B4" s="7" t="s">
        <v>576</v>
      </c>
      <c r="C4" s="108">
        <v>56</v>
      </c>
    </row>
    <row r="5" spans="1:22" ht="15.75" thickBot="1" x14ac:dyDescent="0.3">
      <c r="A5" s="107" t="s">
        <v>586</v>
      </c>
      <c r="B5" s="7" t="s">
        <v>576</v>
      </c>
      <c r="C5" s="108">
        <v>78</v>
      </c>
      <c r="E5" s="216" t="e">
        <f t="array" aca="1" ref="E5:H20" ca="1">StdNested(A3:C47)</f>
        <v>#NAME?</v>
      </c>
      <c r="F5" s="216" t="e">
        <f ca="1"/>
        <v>#NAME?</v>
      </c>
      <c r="G5" s="216" t="e">
        <f ca="1"/>
        <v>#NAME?</v>
      </c>
      <c r="H5" s="216" t="e">
        <f ca="1"/>
        <v>#NAME?</v>
      </c>
      <c r="J5" t="s">
        <v>502</v>
      </c>
      <c r="K5" t="str">
        <f ca="1">IF(COUNTIF(K7:M9,K7)=COUNT(K7:M9),"balanced","unbalanced")</f>
        <v>balanced</v>
      </c>
      <c r="P5" t="s">
        <v>84</v>
      </c>
      <c r="T5" s="230" t="s">
        <v>17</v>
      </c>
      <c r="U5" s="230">
        <v>0.05</v>
      </c>
    </row>
    <row r="6" spans="1:22" ht="15.75" thickTop="1" x14ac:dyDescent="0.25">
      <c r="A6" s="107" t="s">
        <v>586</v>
      </c>
      <c r="B6" s="7" t="s">
        <v>576</v>
      </c>
      <c r="C6" s="108">
        <v>67</v>
      </c>
      <c r="E6" s="216" t="e">
        <f ca="1"/>
        <v>#NAME?</v>
      </c>
      <c r="F6" s="216" t="e">
        <f ca="1"/>
        <v>#NAME?</v>
      </c>
      <c r="G6" s="216" t="e">
        <f ca="1"/>
        <v>#NAME?</v>
      </c>
      <c r="H6" s="216" t="e">
        <f ca="1"/>
        <v>#NAME?</v>
      </c>
      <c r="K6" s="230" t="e">
        <f ca="1">F5</f>
        <v>#NAME?</v>
      </c>
      <c r="L6" s="230" t="e">
        <f ca="1">G5</f>
        <v>#NAME?</v>
      </c>
      <c r="M6" s="230" t="e">
        <f ca="1">H5</f>
        <v>#NAME?</v>
      </c>
      <c r="P6" s="191"/>
      <c r="Q6" s="191" t="s">
        <v>76</v>
      </c>
      <c r="R6" s="191" t="s">
        <v>37</v>
      </c>
      <c r="S6" s="191" t="s">
        <v>78</v>
      </c>
      <c r="T6" s="191" t="s">
        <v>68</v>
      </c>
      <c r="U6" s="191" t="s">
        <v>43</v>
      </c>
      <c r="V6" s="191" t="s">
        <v>111</v>
      </c>
    </row>
    <row r="7" spans="1:22" x14ac:dyDescent="0.25">
      <c r="A7" s="107" t="s">
        <v>586</v>
      </c>
      <c r="B7" s="7" t="s">
        <v>576</v>
      </c>
      <c r="C7" s="108">
        <v>61</v>
      </c>
      <c r="E7" s="173" t="e">
        <f ca="1"/>
        <v>#NAME?</v>
      </c>
      <c r="F7" s="173" t="e">
        <f ca="1"/>
        <v>#NAME?</v>
      </c>
      <c r="G7" s="173" t="e">
        <f ca="1"/>
        <v>#NAME?</v>
      </c>
      <c r="H7" s="173" t="e">
        <f ca="1"/>
        <v>#NAME?</v>
      </c>
      <c r="J7" t="e">
        <f ca="1">E6</f>
        <v>#NAME?</v>
      </c>
      <c r="K7" s="203">
        <f ca="1">COUNT(F6:F10)</f>
        <v>0</v>
      </c>
      <c r="L7" s="187">
        <f ca="1">COUNT(G6:G10)</f>
        <v>0</v>
      </c>
      <c r="M7" s="204">
        <f ca="1">COUNT(H6:H10)</f>
        <v>0</v>
      </c>
      <c r="N7">
        <f ca="1">COUNT(F6:H10)</f>
        <v>0</v>
      </c>
      <c r="P7" t="s">
        <v>69</v>
      </c>
      <c r="Q7" t="e">
        <f ca="1">DEVSQ(N14:N16)*N7</f>
        <v>#NAME?</v>
      </c>
      <c r="R7">
        <f ca="1">COUNT(N14:N16)-1</f>
        <v>-1</v>
      </c>
      <c r="S7" t="e">
        <f ca="1">Q7/R7</f>
        <v>#NAME?</v>
      </c>
      <c r="T7" t="e">
        <f ca="1">S7/S8</f>
        <v>#NAME?</v>
      </c>
      <c r="U7" t="e">
        <f ca="1">FDIST(T7,R7,R8)</f>
        <v>#NAME?</v>
      </c>
      <c r="V7" s="230" t="e">
        <f ca="1">IF(U7&lt;U5,"yes","no")</f>
        <v>#NAME?</v>
      </c>
    </row>
    <row r="8" spans="1:22" x14ac:dyDescent="0.25">
      <c r="A8" s="107" t="s">
        <v>586</v>
      </c>
      <c r="B8" s="7" t="s">
        <v>577</v>
      </c>
      <c r="C8" s="108">
        <v>45</v>
      </c>
      <c r="E8" s="173" t="e">
        <f ca="1"/>
        <v>#NAME?</v>
      </c>
      <c r="F8" s="173" t="e">
        <f ca="1"/>
        <v>#NAME?</v>
      </c>
      <c r="G8" s="173" t="e">
        <f ca="1"/>
        <v>#NAME?</v>
      </c>
      <c r="H8" s="173" t="e">
        <f ca="1"/>
        <v>#NAME?</v>
      </c>
      <c r="J8" t="e">
        <f ca="1">E11</f>
        <v>#NAME?</v>
      </c>
      <c r="K8" s="76">
        <f ca="1">COUNT(F11:F15)</f>
        <v>0</v>
      </c>
      <c r="L8" s="7">
        <f ca="1">COUNT(G11:G15)</f>
        <v>0</v>
      </c>
      <c r="M8" s="35">
        <f ca="1">COUNT(H11:H15)</f>
        <v>0</v>
      </c>
      <c r="N8">
        <f ca="1">COUNT(F11:H15)</f>
        <v>0</v>
      </c>
      <c r="P8" t="s">
        <v>610</v>
      </c>
      <c r="Q8" t="e">
        <f ca="1">Q10-Q7-Q9</f>
        <v>#NAME?</v>
      </c>
      <c r="R8">
        <f ca="1">(COUNT(K17:M17)-1)*(R7+1)</f>
        <v>0</v>
      </c>
      <c r="S8" t="e">
        <f ca="1">Q8/R8</f>
        <v>#NAME?</v>
      </c>
      <c r="T8" t="e">
        <f ca="1">S8/S9</f>
        <v>#NAME?</v>
      </c>
      <c r="U8" t="e">
        <f ca="1">FDIST(T8,R8,R9)</f>
        <v>#NAME?</v>
      </c>
      <c r="V8" s="230" t="e">
        <f ca="1">IF(U8&lt;U5,"yes","no")</f>
        <v>#NAME?</v>
      </c>
    </row>
    <row r="9" spans="1:22" x14ac:dyDescent="0.25">
      <c r="A9" s="107" t="s">
        <v>586</v>
      </c>
      <c r="B9" s="7" t="s">
        <v>577</v>
      </c>
      <c r="C9" s="108">
        <v>76</v>
      </c>
      <c r="E9" s="173" t="e">
        <f ca="1"/>
        <v>#NAME?</v>
      </c>
      <c r="F9" s="173" t="e">
        <f ca="1"/>
        <v>#NAME?</v>
      </c>
      <c r="G9" s="173" t="e">
        <f ca="1"/>
        <v>#NAME?</v>
      </c>
      <c r="H9" s="173" t="e">
        <f ca="1"/>
        <v>#NAME?</v>
      </c>
      <c r="J9" t="e">
        <f ca="1">E16</f>
        <v>#NAME?</v>
      </c>
      <c r="K9" s="182">
        <f ca="1">COUNT(F16:F20)</f>
        <v>0</v>
      </c>
      <c r="L9" s="183">
        <f ca="1">COUNT(G16:G20)</f>
        <v>0</v>
      </c>
      <c r="M9" s="184">
        <f ca="1">COUNT(H16:H20)</f>
        <v>0</v>
      </c>
      <c r="N9">
        <f ca="1">COUNT(F16:H20)</f>
        <v>0</v>
      </c>
      <c r="P9" t="s">
        <v>124</v>
      </c>
      <c r="Q9" t="e">
        <f ca="1">SUM(K21:M23)*(K7-1)</f>
        <v>#NAME?</v>
      </c>
      <c r="R9">
        <f ca="1">R10-R7-R8</f>
        <v>0</v>
      </c>
      <c r="S9" t="e">
        <f ca="1">Q9/R9</f>
        <v>#NAME?</v>
      </c>
    </row>
    <row r="10" spans="1:22" x14ac:dyDescent="0.25">
      <c r="A10" s="107" t="s">
        <v>586</v>
      </c>
      <c r="B10" s="7" t="s">
        <v>577</v>
      </c>
      <c r="C10" s="108">
        <v>65</v>
      </c>
      <c r="E10" s="180" t="e">
        <f ca="1"/>
        <v>#NAME?</v>
      </c>
      <c r="F10" s="180" t="e">
        <f ca="1"/>
        <v>#NAME?</v>
      </c>
      <c r="G10" s="180" t="e">
        <f ca="1"/>
        <v>#NAME?</v>
      </c>
      <c r="H10" s="180" t="e">
        <f ca="1"/>
        <v>#NAME?</v>
      </c>
      <c r="K10">
        <f ca="1">COUNT(F6:F20)</f>
        <v>0</v>
      </c>
      <c r="L10">
        <f ca="1">COUNT(G6:G20)</f>
        <v>0</v>
      </c>
      <c r="M10">
        <f ca="1">COUNT(H6:H20)</f>
        <v>0</v>
      </c>
      <c r="N10">
        <f ca="1">COUNT(F6:H20)</f>
        <v>0</v>
      </c>
      <c r="P10" s="185" t="s">
        <v>1</v>
      </c>
      <c r="Q10" s="185" t="e">
        <f ca="1">S10*R10</f>
        <v>#NAME?</v>
      </c>
      <c r="R10" s="185">
        <f ca="1">N10-1</f>
        <v>-1</v>
      </c>
      <c r="S10" s="185" t="e">
        <f ca="1">N24</f>
        <v>#NAME?</v>
      </c>
      <c r="T10" s="185"/>
      <c r="U10" s="185"/>
      <c r="V10" s="185"/>
    </row>
    <row r="11" spans="1:22" x14ac:dyDescent="0.25">
      <c r="A11" s="107" t="s">
        <v>586</v>
      </c>
      <c r="B11" s="7" t="s">
        <v>577</v>
      </c>
      <c r="C11" s="108">
        <v>52</v>
      </c>
      <c r="E11" s="216" t="e">
        <f ca="1"/>
        <v>#NAME?</v>
      </c>
      <c r="F11" s="216" t="e">
        <f ca="1"/>
        <v>#NAME?</v>
      </c>
      <c r="G11" s="216" t="e">
        <f ca="1"/>
        <v>#NAME?</v>
      </c>
      <c r="H11" s="216" t="e">
        <f ca="1"/>
        <v>#NAME?</v>
      </c>
    </row>
    <row r="12" spans="1:22" x14ac:dyDescent="0.25">
      <c r="A12" s="107" t="s">
        <v>586</v>
      </c>
      <c r="B12" s="7" t="s">
        <v>577</v>
      </c>
      <c r="C12" s="108">
        <v>23</v>
      </c>
      <c r="E12" s="173" t="e">
        <f ca="1"/>
        <v>#NAME?</v>
      </c>
      <c r="F12" s="173" t="e">
        <f ca="1"/>
        <v>#NAME?</v>
      </c>
      <c r="G12" s="173" t="e">
        <f ca="1"/>
        <v>#NAME?</v>
      </c>
      <c r="H12" s="173" t="e">
        <f ca="1"/>
        <v>#NAME?</v>
      </c>
      <c r="J12" t="s">
        <v>125</v>
      </c>
    </row>
    <row r="13" spans="1:22" x14ac:dyDescent="0.25">
      <c r="A13" s="107" t="s">
        <v>586</v>
      </c>
      <c r="B13" s="7" t="s">
        <v>578</v>
      </c>
      <c r="C13" s="108">
        <v>40</v>
      </c>
      <c r="E13" s="173" t="e">
        <f ca="1"/>
        <v>#NAME?</v>
      </c>
      <c r="F13" s="173" t="e">
        <f ca="1"/>
        <v>#NAME?</v>
      </c>
      <c r="G13" s="173" t="e">
        <f ca="1"/>
        <v>#NAME?</v>
      </c>
      <c r="H13" s="173" t="e">
        <f ca="1"/>
        <v>#NAME?</v>
      </c>
      <c r="K13" s="230" t="e">
        <f ca="1">F5</f>
        <v>#NAME?</v>
      </c>
      <c r="L13" s="230" t="e">
        <f ca="1">G5</f>
        <v>#NAME?</v>
      </c>
      <c r="M13" s="230" t="e">
        <f ca="1">H5</f>
        <v>#NAME?</v>
      </c>
    </row>
    <row r="14" spans="1:22" x14ac:dyDescent="0.25">
      <c r="A14" s="107" t="s">
        <v>586</v>
      </c>
      <c r="B14" s="7" t="s">
        <v>578</v>
      </c>
      <c r="C14" s="108">
        <v>39</v>
      </c>
      <c r="E14" s="173" t="e">
        <f ca="1"/>
        <v>#NAME?</v>
      </c>
      <c r="F14" s="173" t="e">
        <f ca="1"/>
        <v>#NAME?</v>
      </c>
      <c r="G14" s="173" t="e">
        <f ca="1"/>
        <v>#NAME?</v>
      </c>
      <c r="H14" s="173" t="e">
        <f ca="1"/>
        <v>#NAME?</v>
      </c>
      <c r="J14" t="e">
        <f ca="1">E6</f>
        <v>#NAME?</v>
      </c>
      <c r="K14" s="203" t="e">
        <f ca="1">AVERAGE(F6:F10)</f>
        <v>#NAME?</v>
      </c>
      <c r="L14" s="187" t="e">
        <f ca="1">AVERAGE(G6:G10)</f>
        <v>#NAME?</v>
      </c>
      <c r="M14" s="204" t="e">
        <f ca="1">AVERAGE(H6:H10)</f>
        <v>#NAME?</v>
      </c>
      <c r="N14" t="e">
        <f ca="1">AVERAGE(F6:H10)</f>
        <v>#NAME?</v>
      </c>
    </row>
    <row r="15" spans="1:22" x14ac:dyDescent="0.25">
      <c r="A15" s="107" t="s">
        <v>586</v>
      </c>
      <c r="B15" s="7" t="s">
        <v>578</v>
      </c>
      <c r="C15" s="108">
        <v>78</v>
      </c>
      <c r="E15" s="180" t="e">
        <f ca="1"/>
        <v>#NAME?</v>
      </c>
      <c r="F15" s="180" t="e">
        <f ca="1"/>
        <v>#NAME?</v>
      </c>
      <c r="G15" s="180" t="e">
        <f ca="1"/>
        <v>#NAME?</v>
      </c>
      <c r="H15" s="180" t="e">
        <f ca="1"/>
        <v>#NAME?</v>
      </c>
      <c r="J15" t="e">
        <f ca="1">E11</f>
        <v>#NAME?</v>
      </c>
      <c r="K15" s="76" t="e">
        <f ca="1">AVERAGE(F11:F15)</f>
        <v>#NAME?</v>
      </c>
      <c r="L15" s="7" t="e">
        <f ca="1">AVERAGE(G11:G15)</f>
        <v>#NAME?</v>
      </c>
      <c r="M15" s="35" t="e">
        <f ca="1">AVERAGE(H11:H15)</f>
        <v>#NAME?</v>
      </c>
      <c r="N15" t="e">
        <f ca="1">AVERAGE(F11:H15)</f>
        <v>#NAME?</v>
      </c>
    </row>
    <row r="16" spans="1:22" x14ac:dyDescent="0.25">
      <c r="A16" s="107" t="s">
        <v>586</v>
      </c>
      <c r="B16" s="7" t="s">
        <v>578</v>
      </c>
      <c r="C16" s="108">
        <v>24</v>
      </c>
      <c r="E16" s="216" t="e">
        <f ca="1"/>
        <v>#NAME?</v>
      </c>
      <c r="F16" s="216" t="e">
        <f ca="1"/>
        <v>#NAME?</v>
      </c>
      <c r="G16" s="216" t="e">
        <f ca="1"/>
        <v>#NAME?</v>
      </c>
      <c r="H16" s="216" t="e">
        <f ca="1"/>
        <v>#NAME?</v>
      </c>
      <c r="J16" t="e">
        <f ca="1">E16</f>
        <v>#NAME?</v>
      </c>
      <c r="K16" s="182" t="e">
        <f ca="1">AVERAGE(F16:F20)</f>
        <v>#NAME?</v>
      </c>
      <c r="L16" s="183" t="e">
        <f ca="1">AVERAGE(G16:G20)</f>
        <v>#NAME?</v>
      </c>
      <c r="M16" s="184" t="e">
        <f ca="1">AVERAGE(H16:H20)</f>
        <v>#NAME?</v>
      </c>
      <c r="N16" t="e">
        <f ca="1">AVERAGE(F16:H20)</f>
        <v>#NAME?</v>
      </c>
    </row>
    <row r="17" spans="1:14" x14ac:dyDescent="0.25">
      <c r="A17" s="107" t="s">
        <v>586</v>
      </c>
      <c r="B17" s="7" t="s">
        <v>578</v>
      </c>
      <c r="C17" s="108">
        <v>59</v>
      </c>
      <c r="E17" s="173" t="e">
        <f ca="1"/>
        <v>#NAME?</v>
      </c>
      <c r="F17" s="173" t="e">
        <f ca="1"/>
        <v>#NAME?</v>
      </c>
      <c r="G17" s="173" t="e">
        <f ca="1"/>
        <v>#NAME?</v>
      </c>
      <c r="H17" s="173" t="e">
        <f ca="1"/>
        <v>#NAME?</v>
      </c>
      <c r="K17" t="e">
        <f ca="1">AVERAGE(F6:F20)</f>
        <v>#NAME?</v>
      </c>
      <c r="L17" t="e">
        <f ca="1">AVERAGE(G6:G20)</f>
        <v>#NAME?</v>
      </c>
      <c r="M17" t="e">
        <f ca="1">AVERAGE(H6:H20)</f>
        <v>#NAME?</v>
      </c>
      <c r="N17" t="e">
        <f ca="1">AVERAGE(F6:H20)</f>
        <v>#NAME?</v>
      </c>
    </row>
    <row r="18" spans="1:14" x14ac:dyDescent="0.25">
      <c r="A18" s="107" t="s">
        <v>587</v>
      </c>
      <c r="B18" s="7" t="s">
        <v>579</v>
      </c>
      <c r="C18" s="108">
        <v>46</v>
      </c>
      <c r="E18" s="173" t="e">
        <f ca="1"/>
        <v>#NAME?</v>
      </c>
      <c r="F18" s="173" t="e">
        <f ca="1"/>
        <v>#NAME?</v>
      </c>
      <c r="G18" s="173" t="e">
        <f ca="1"/>
        <v>#NAME?</v>
      </c>
      <c r="H18" s="173" t="e">
        <f ca="1"/>
        <v>#NAME?</v>
      </c>
    </row>
    <row r="19" spans="1:14" x14ac:dyDescent="0.25">
      <c r="A19" s="107" t="s">
        <v>587</v>
      </c>
      <c r="B19" s="7" t="s">
        <v>579</v>
      </c>
      <c r="C19" s="108">
        <v>32</v>
      </c>
      <c r="E19" s="173" t="e">
        <f ca="1"/>
        <v>#NAME?</v>
      </c>
      <c r="F19" s="173" t="e">
        <f ca="1"/>
        <v>#NAME?</v>
      </c>
      <c r="G19" s="173" t="e">
        <f ca="1"/>
        <v>#NAME?</v>
      </c>
      <c r="H19" s="173" t="e">
        <f ca="1"/>
        <v>#NAME?</v>
      </c>
      <c r="J19" t="s">
        <v>503</v>
      </c>
    </row>
    <row r="20" spans="1:14" x14ac:dyDescent="0.25">
      <c r="A20" s="107" t="s">
        <v>587</v>
      </c>
      <c r="B20" s="7" t="s">
        <v>579</v>
      </c>
      <c r="C20" s="108">
        <v>56</v>
      </c>
      <c r="E20" s="180" t="e">
        <f ca="1"/>
        <v>#NAME?</v>
      </c>
      <c r="F20" s="180" t="e">
        <f ca="1"/>
        <v>#NAME?</v>
      </c>
      <c r="G20" s="180" t="e">
        <f ca="1"/>
        <v>#NAME?</v>
      </c>
      <c r="H20" s="180" t="e">
        <f ca="1"/>
        <v>#NAME?</v>
      </c>
      <c r="K20" s="230" t="e">
        <f ca="1">F5</f>
        <v>#NAME?</v>
      </c>
      <c r="L20" s="230" t="e">
        <f ca="1">G5</f>
        <v>#NAME?</v>
      </c>
      <c r="M20" s="230" t="e">
        <f ca="1">H5</f>
        <v>#NAME?</v>
      </c>
    </row>
    <row r="21" spans="1:14" x14ac:dyDescent="0.25">
      <c r="A21" s="107" t="s">
        <v>587</v>
      </c>
      <c r="B21" s="7" t="s">
        <v>579</v>
      </c>
      <c r="C21" s="108">
        <v>52</v>
      </c>
      <c r="J21" t="e">
        <f ca="1">E6</f>
        <v>#NAME?</v>
      </c>
      <c r="K21" s="203" t="e">
        <f ca="1">VAR(F6:F10)</f>
        <v>#NAME?</v>
      </c>
      <c r="L21" s="187" t="e">
        <f ca="1">VAR(G6:G10)</f>
        <v>#NAME?</v>
      </c>
      <c r="M21" s="204" t="e">
        <f ca="1">VAR(H6:H10)</f>
        <v>#NAME?</v>
      </c>
      <c r="N21" t="e">
        <f ca="1">VAR(F6:H10)</f>
        <v>#NAME?</v>
      </c>
    </row>
    <row r="22" spans="1:14" x14ac:dyDescent="0.25">
      <c r="A22" s="107" t="s">
        <v>587</v>
      </c>
      <c r="B22" s="7" t="s">
        <v>579</v>
      </c>
      <c r="C22" s="108">
        <v>79</v>
      </c>
      <c r="J22" t="e">
        <f ca="1">E11</f>
        <v>#NAME?</v>
      </c>
      <c r="K22" s="76" t="e">
        <f ca="1">VAR(F11:F15)</f>
        <v>#NAME?</v>
      </c>
      <c r="L22" s="7" t="e">
        <f ca="1">VAR(G11:G15)</f>
        <v>#NAME?</v>
      </c>
      <c r="M22" s="35" t="e">
        <f ca="1">VAR(H11:H15)</f>
        <v>#NAME?</v>
      </c>
      <c r="N22" t="e">
        <f ca="1">VAR(F11:H15)</f>
        <v>#NAME?</v>
      </c>
    </row>
    <row r="23" spans="1:14" x14ac:dyDescent="0.25">
      <c r="A23" s="107" t="s">
        <v>587</v>
      </c>
      <c r="B23" s="7" t="s">
        <v>580</v>
      </c>
      <c r="C23" s="108">
        <v>23</v>
      </c>
      <c r="J23" t="e">
        <f ca="1">E16</f>
        <v>#NAME?</v>
      </c>
      <c r="K23" s="182" t="e">
        <f ca="1">VAR(F16:F20)</f>
        <v>#NAME?</v>
      </c>
      <c r="L23" s="183" t="e">
        <f ca="1">VAR(G16:G20)</f>
        <v>#NAME?</v>
      </c>
      <c r="M23" s="184" t="e">
        <f ca="1">VAR(H16:H20)</f>
        <v>#NAME?</v>
      </c>
      <c r="N23" t="e">
        <f ca="1">VAR(F16:H20)</f>
        <v>#NAME?</v>
      </c>
    </row>
    <row r="24" spans="1:14" x14ac:dyDescent="0.25">
      <c r="A24" s="107" t="s">
        <v>587</v>
      </c>
      <c r="B24" s="7" t="s">
        <v>580</v>
      </c>
      <c r="C24" s="108">
        <v>56</v>
      </c>
      <c r="K24" t="e">
        <f ca="1">VAR(F6:F20)</f>
        <v>#NAME?</v>
      </c>
      <c r="L24" t="e">
        <f ca="1">VAR(G6:G20)</f>
        <v>#NAME?</v>
      </c>
      <c r="M24" t="e">
        <f ca="1">VAR(H6:H20)</f>
        <v>#NAME?</v>
      </c>
      <c r="N24" t="e">
        <f ca="1">VAR(F6:H20)</f>
        <v>#NAME?</v>
      </c>
    </row>
    <row r="25" spans="1:14" x14ac:dyDescent="0.25">
      <c r="A25" s="107" t="s">
        <v>587</v>
      </c>
      <c r="B25" s="7" t="s">
        <v>580</v>
      </c>
      <c r="C25" s="108">
        <v>61</v>
      </c>
    </row>
    <row r="26" spans="1:14" x14ac:dyDescent="0.25">
      <c r="A26" s="107" t="s">
        <v>587</v>
      </c>
      <c r="B26" s="7" t="s">
        <v>580</v>
      </c>
      <c r="C26" s="108">
        <v>34</v>
      </c>
    </row>
    <row r="27" spans="1:14" x14ac:dyDescent="0.25">
      <c r="A27" s="107" t="s">
        <v>587</v>
      </c>
      <c r="B27" s="7" t="s">
        <v>580</v>
      </c>
      <c r="C27" s="108">
        <v>28</v>
      </c>
    </row>
    <row r="28" spans="1:14" x14ac:dyDescent="0.25">
      <c r="A28" s="107" t="s">
        <v>587</v>
      </c>
      <c r="B28" s="7" t="s">
        <v>581</v>
      </c>
      <c r="C28" s="108">
        <v>75</v>
      </c>
    </row>
    <row r="29" spans="1:14" x14ac:dyDescent="0.25">
      <c r="A29" s="107" t="s">
        <v>587</v>
      </c>
      <c r="B29" s="7" t="s">
        <v>581</v>
      </c>
      <c r="C29" s="108">
        <v>57</v>
      </c>
    </row>
    <row r="30" spans="1:14" x14ac:dyDescent="0.25">
      <c r="A30" s="107" t="s">
        <v>587</v>
      </c>
      <c r="B30" s="7" t="s">
        <v>581</v>
      </c>
      <c r="C30" s="108">
        <v>63</v>
      </c>
    </row>
    <row r="31" spans="1:14" x14ac:dyDescent="0.25">
      <c r="A31" s="107" t="s">
        <v>587</v>
      </c>
      <c r="B31" s="7" t="s">
        <v>581</v>
      </c>
      <c r="C31" s="108">
        <v>25</v>
      </c>
    </row>
    <row r="32" spans="1:14" x14ac:dyDescent="0.25">
      <c r="A32" s="107" t="s">
        <v>587</v>
      </c>
      <c r="B32" s="7" t="s">
        <v>581</v>
      </c>
      <c r="C32" s="108">
        <v>60</v>
      </c>
    </row>
    <row r="33" spans="1:3" x14ac:dyDescent="0.25">
      <c r="A33" s="107" t="s">
        <v>585</v>
      </c>
      <c r="B33" s="7" t="s">
        <v>582</v>
      </c>
      <c r="C33" s="108">
        <v>23</v>
      </c>
    </row>
    <row r="34" spans="1:3" x14ac:dyDescent="0.25">
      <c r="A34" s="107" t="s">
        <v>585</v>
      </c>
      <c r="B34" s="7" t="s">
        <v>582</v>
      </c>
      <c r="C34" s="108">
        <v>56</v>
      </c>
    </row>
    <row r="35" spans="1:3" x14ac:dyDescent="0.25">
      <c r="A35" s="107" t="s">
        <v>585</v>
      </c>
      <c r="B35" s="7" t="s">
        <v>582</v>
      </c>
      <c r="C35" s="108">
        <v>61</v>
      </c>
    </row>
    <row r="36" spans="1:3" x14ac:dyDescent="0.25">
      <c r="A36" s="107" t="s">
        <v>585</v>
      </c>
      <c r="B36" s="7" t="s">
        <v>582</v>
      </c>
      <c r="C36" s="108">
        <v>34</v>
      </c>
    </row>
    <row r="37" spans="1:3" x14ac:dyDescent="0.25">
      <c r="A37" s="107" t="s">
        <v>585</v>
      </c>
      <c r="B37" s="7" t="s">
        <v>582</v>
      </c>
      <c r="C37" s="108">
        <v>28</v>
      </c>
    </row>
    <row r="38" spans="1:3" x14ac:dyDescent="0.25">
      <c r="A38" s="107" t="s">
        <v>585</v>
      </c>
      <c r="B38" s="7" t="s">
        <v>583</v>
      </c>
      <c r="C38" s="108">
        <v>75</v>
      </c>
    </row>
    <row r="39" spans="1:3" x14ac:dyDescent="0.25">
      <c r="A39" s="107" t="s">
        <v>585</v>
      </c>
      <c r="B39" s="7" t="s">
        <v>583</v>
      </c>
      <c r="C39" s="108">
        <v>57</v>
      </c>
    </row>
    <row r="40" spans="1:3" x14ac:dyDescent="0.25">
      <c r="A40" s="107" t="s">
        <v>585</v>
      </c>
      <c r="B40" s="7" t="s">
        <v>583</v>
      </c>
      <c r="C40" s="108">
        <v>63</v>
      </c>
    </row>
    <row r="41" spans="1:3" x14ac:dyDescent="0.25">
      <c r="A41" s="107" t="s">
        <v>585</v>
      </c>
      <c r="B41" s="7" t="s">
        <v>583</v>
      </c>
      <c r="C41" s="108">
        <v>25</v>
      </c>
    </row>
    <row r="42" spans="1:3" x14ac:dyDescent="0.25">
      <c r="A42" s="107" t="s">
        <v>585</v>
      </c>
      <c r="B42" s="7" t="s">
        <v>583</v>
      </c>
      <c r="C42" s="108">
        <v>60</v>
      </c>
    </row>
    <row r="43" spans="1:3" x14ac:dyDescent="0.25">
      <c r="A43" s="107" t="s">
        <v>585</v>
      </c>
      <c r="B43" s="7" t="s">
        <v>584</v>
      </c>
      <c r="C43" s="108">
        <v>55</v>
      </c>
    </row>
    <row r="44" spans="1:3" x14ac:dyDescent="0.25">
      <c r="A44" s="107" t="s">
        <v>585</v>
      </c>
      <c r="B44" s="7" t="s">
        <v>584</v>
      </c>
      <c r="C44" s="108">
        <v>73</v>
      </c>
    </row>
    <row r="45" spans="1:3" x14ac:dyDescent="0.25">
      <c r="A45" s="107" t="s">
        <v>585</v>
      </c>
      <c r="B45" s="7" t="s">
        <v>584</v>
      </c>
      <c r="C45" s="108">
        <v>69</v>
      </c>
    </row>
    <row r="46" spans="1:3" x14ac:dyDescent="0.25">
      <c r="A46" s="107" t="s">
        <v>585</v>
      </c>
      <c r="B46" s="7" t="s">
        <v>584</v>
      </c>
      <c r="C46" s="108">
        <v>64</v>
      </c>
    </row>
    <row r="47" spans="1:3" x14ac:dyDescent="0.25">
      <c r="A47" s="52" t="s">
        <v>585</v>
      </c>
      <c r="B47" s="185" t="s">
        <v>584</v>
      </c>
      <c r="C47" s="56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65</vt:i4>
      </vt:variant>
    </vt:vector>
  </HeadingPairs>
  <TitlesOfParts>
    <vt:vector size="65" baseType="lpstr">
      <vt:lpstr>TOC0</vt:lpstr>
      <vt:lpstr>TOC</vt:lpstr>
      <vt:lpstr>Rand Anova</vt:lpstr>
      <vt:lpstr>Mixed</vt:lpstr>
      <vt:lpstr>Rand Anova 2</vt:lpstr>
      <vt:lpstr>Nested</vt:lpstr>
      <vt:lpstr>Nested 1 </vt:lpstr>
      <vt:lpstr>Nested 1a</vt:lpstr>
      <vt:lpstr>Nested 2</vt:lpstr>
      <vt:lpstr>RCBD</vt:lpstr>
      <vt:lpstr>RCBD 1</vt:lpstr>
      <vt:lpstr>RCBD 2</vt:lpstr>
      <vt:lpstr>RCBD 3</vt:lpstr>
      <vt:lpstr>RCBD 4</vt:lpstr>
      <vt:lpstr>RCBD 5</vt:lpstr>
      <vt:lpstr>RCBD 6</vt:lpstr>
      <vt:lpstr>RCBD 7</vt:lpstr>
      <vt:lpstr>RCBD 8</vt:lpstr>
      <vt:lpstr>RCBD 9</vt:lpstr>
      <vt:lpstr>Split 1</vt:lpstr>
      <vt:lpstr>Split 2</vt:lpstr>
      <vt:lpstr>Split 3</vt:lpstr>
      <vt:lpstr>Split 4</vt:lpstr>
      <vt:lpstr>Split 5</vt:lpstr>
      <vt:lpstr>Latin</vt:lpstr>
      <vt:lpstr>Latin 1</vt:lpstr>
      <vt:lpstr>Latin 2</vt:lpstr>
      <vt:lpstr>Latin 3</vt:lpstr>
      <vt:lpstr>Latin 4</vt:lpstr>
      <vt:lpstr>Latin 5</vt:lpstr>
      <vt:lpstr>ANOVA Match 1.1</vt:lpstr>
      <vt:lpstr>ANOVA Match 1.2</vt:lpstr>
      <vt:lpstr>ANOVA Match 1.2a</vt:lpstr>
      <vt:lpstr>ANOVA Match 1.3</vt:lpstr>
      <vt:lpstr>ANOVA Match 1.3a</vt:lpstr>
      <vt:lpstr>ANOVA Match 1.4</vt:lpstr>
      <vt:lpstr>ANOVA Match 1.5</vt:lpstr>
      <vt:lpstr>ANOVA Match 1.6</vt:lpstr>
      <vt:lpstr>ANOVA Match 2.1</vt:lpstr>
      <vt:lpstr>ANOVA Match 2.2</vt:lpstr>
      <vt:lpstr>ANOVA Match 2.3</vt:lpstr>
      <vt:lpstr>ANOVA Match 2.3A</vt:lpstr>
      <vt:lpstr>ANOVA Match 2.3B</vt:lpstr>
      <vt:lpstr>ANOVA Match 2.4</vt:lpstr>
      <vt:lpstr>ANOVA Match 2.5</vt:lpstr>
      <vt:lpstr>ANOVA Match 2.5A</vt:lpstr>
      <vt:lpstr>ANOVA Match 2.5B</vt:lpstr>
      <vt:lpstr>Friedman</vt:lpstr>
      <vt:lpstr>Friedman 1</vt:lpstr>
      <vt:lpstr>Cochran 1</vt:lpstr>
      <vt:lpstr>Cochran 2</vt:lpstr>
      <vt:lpstr>ANCOVA 1</vt:lpstr>
      <vt:lpstr>ANCOVA 2</vt:lpstr>
      <vt:lpstr>ANCOVA 3</vt:lpstr>
      <vt:lpstr>ANCOVA 4</vt:lpstr>
      <vt:lpstr>ANCOVA Contrasts</vt:lpstr>
      <vt:lpstr>ANCOVA Tukey</vt:lpstr>
      <vt:lpstr>ANCOVA Std</vt:lpstr>
      <vt:lpstr>ANCOVA Std 1</vt:lpstr>
      <vt:lpstr>ICC1</vt:lpstr>
      <vt:lpstr>ICC1a</vt:lpstr>
      <vt:lpstr>ICC2</vt:lpstr>
      <vt:lpstr>ICC3</vt:lpstr>
      <vt:lpstr>Stud. Q Table</vt:lpstr>
      <vt:lpstr>Stud. Q Table 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</dc:creator>
  <cp:lastModifiedBy>Charles Zaiontz</cp:lastModifiedBy>
  <cp:lastPrinted>2015-05-22T15:20:10Z</cp:lastPrinted>
  <dcterms:created xsi:type="dcterms:W3CDTF">2011-12-03T11:22:59Z</dcterms:created>
  <dcterms:modified xsi:type="dcterms:W3CDTF">2019-03-23T08:39:13Z</dcterms:modified>
</cp:coreProperties>
</file>