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drawings/drawing16.xml" ContentType="application/vnd.openxmlformats-officedocument.drawing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drawings/drawing20.xml" ContentType="application/vnd.openxmlformats-officedocument.drawing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2.xml" ContentType="application/vnd.openxmlformats-officedocument.drawing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A Real Statistics 2019\Examples\"/>
    </mc:Choice>
  </mc:AlternateContent>
  <bookViews>
    <workbookView xWindow="0" yWindow="0" windowWidth="15360" windowHeight="7755" tabRatio="794"/>
  </bookViews>
  <sheets>
    <sheet name="TOC0" sheetId="405" r:id="rId1"/>
    <sheet name="TOC" sheetId="1" r:id="rId2"/>
    <sheet name="Bar Chart" sheetId="2" r:id="rId3"/>
    <sheet name="Line Chart" sheetId="4" r:id="rId4"/>
    <sheet name="Line Chart 2" sheetId="481" r:id="rId5"/>
    <sheet name="Scatter Chart" sheetId="725" r:id="rId6"/>
    <sheet name="Step Chart" sheetId="686" r:id="rId7"/>
    <sheet name="Array Formula" sheetId="3" r:id="rId8"/>
    <sheet name="Array Function" sheetId="5" r:id="rId9"/>
    <sheet name="Sort Filter" sheetId="488" r:id="rId10"/>
    <sheet name="Seek" sheetId="557" r:id="rId11"/>
    <sheet name="Reformat 1" sheetId="555" r:id="rId12"/>
    <sheet name="Reformat 2" sheetId="556" r:id="rId13"/>
    <sheet name="Sort Rows" sheetId="457" r:id="rId14"/>
    <sheet name="Extract" sheetId="413" r:id="rId15"/>
    <sheet name="Select Col" sheetId="464" r:id="rId16"/>
    <sheet name="Misc" sheetId="639" r:id="rId17"/>
    <sheet name="Step Chart 1" sheetId="687" r:id="rId18"/>
    <sheet name="Prob 0" sheetId="377" r:id="rId19"/>
    <sheet name="Prob 1" sheetId="6" r:id="rId20"/>
    <sheet name="Prob 2" sheetId="7" r:id="rId21"/>
    <sheet name="Central" sheetId="482" r:id="rId22"/>
    <sheet name="Geo Mean" sheetId="8" r:id="rId23"/>
    <sheet name="Var" sheetId="483" r:id="rId24"/>
    <sheet name="Combined" sheetId="9" r:id="rId25"/>
    <sheet name="Combined 2" sheetId="708" r:id="rId26"/>
    <sheet name="SKEW" sheetId="485" r:id="rId27"/>
    <sheet name="Rank 0" sheetId="484" r:id="rId28"/>
    <sheet name="Rank 1" sheetId="10" r:id="rId29"/>
    <sheet name="Rank 2" sheetId="712" r:id="rId30"/>
    <sheet name="Desc 1" sheetId="11" r:id="rId31"/>
    <sheet name="Desc 2" sheetId="12" r:id="rId32"/>
    <sheet name="Freq" sheetId="13" r:id="rId33"/>
    <sheet name="Freq 2" sheetId="368" r:id="rId34"/>
    <sheet name="Histogram" sheetId="15" r:id="rId35"/>
    <sheet name="Box Plot 1" sheetId="21" r:id="rId36"/>
    <sheet name="Box Plot 2" sheetId="22" r:id="rId37"/>
    <sheet name="Box Plot 3" sheetId="239" r:id="rId38"/>
    <sheet name="Box Plot 4" sheetId="705" r:id="rId39"/>
    <sheet name="Box Plot 5" sheetId="706" r:id="rId40"/>
    <sheet name="Box Plot 6" sheetId="707" r:id="rId41"/>
    <sheet name="Dot 1" sheetId="749" r:id="rId42"/>
    <sheet name="Dot 2" sheetId="750" r:id="rId43"/>
    <sheet name="ROC" sheetId="621" r:id="rId44"/>
    <sheet name="ROC 1" sheetId="622" r:id="rId45"/>
    <sheet name="AUC" sheetId="744" r:id="rId46"/>
    <sheet name="Winsor" sheetId="553" r:id="rId47"/>
    <sheet name="Missing" sheetId="415" r:id="rId48"/>
    <sheet name="Diversity 1" sheetId="702" r:id="rId49"/>
    <sheet name="Diversity 2" sheetId="701" r:id="rId50"/>
    <sheet name="Diversity 3" sheetId="700" r:id="rId51"/>
    <sheet name="Power" sheetId="16" r:id="rId52"/>
    <sheet name="Multiple tests" sheetId="781" r:id="rId53"/>
    <sheet name="Graph" sheetId="751" r:id="rId54"/>
    <sheet name="Gamma" sheetId="779" r:id="rId55"/>
    <sheet name="SUMIF" sheetId="752" r:id="rId56"/>
    <sheet name="Match" sheetId="753" r:id="rId57"/>
    <sheet name="Conversion 1" sheetId="754" r:id="rId58"/>
    <sheet name="Conversion 2" sheetId="755" r:id="rId59"/>
    <sheet name="Cat Code" sheetId="756" r:id="rId60"/>
    <sheet name="Table Lookup" sheetId="757" r:id="rId61"/>
    <sheet name="Sampling" sheetId="758" r:id="rId62"/>
    <sheet name="Chart s.e." sheetId="765" r:id="rId63"/>
    <sheet name="Length" sheetId="768" r:id="rId64"/>
    <sheet name="Inverse" sheetId="769" r:id="rId65"/>
    <sheet name="Mat Power" sheetId="770" r:id="rId66"/>
    <sheet name="Diag" sheetId="771" r:id="rId67"/>
    <sheet name="Det 1" sheetId="772" r:id="rId68"/>
    <sheet name="Det 2" sheetId="773" r:id="rId69"/>
    <sheet name="Cramer Rule" sheetId="774" r:id="rId70"/>
    <sheet name="Gauss Elim 1" sheetId="775" r:id="rId71"/>
    <sheet name="Gauss Elim 2" sheetId="776" r:id="rId72"/>
    <sheet name="Newton" sheetId="777" r:id="rId73"/>
    <sheet name="Goal Seek" sheetId="778" r:id="rId74"/>
    <sheet name="Color 1" sheetId="766" r:id="rId75"/>
    <sheet name="Color 2" sheetId="767" r:id="rId76"/>
    <sheet name="Prime" sheetId="783" r:id="rId77"/>
    <sheet name="Bitwise" sheetId="782" r:id="rId78"/>
    <sheet name="Interp" sheetId="780" r:id="rId79"/>
  </sheets>
  <definedNames>
    <definedName name="_xlnm._FilterDatabase" localSheetId="9" hidden="1">'Sort Filter'!$A$16:$D$25</definedName>
    <definedName name="DataRange" localSheetId="78">#REF!</definedName>
    <definedName name="DataRange">#REF!</definedName>
  </definedNames>
  <calcPr calcId="152511"/>
</workbook>
</file>

<file path=xl/calcChain.xml><?xml version="1.0" encoding="utf-8"?>
<calcChain xmlns="http://schemas.openxmlformats.org/spreadsheetml/2006/main">
  <c r="E10" i="782" l="1"/>
  <c r="E9" i="782"/>
  <c r="E8" i="782"/>
  <c r="E6" i="782"/>
  <c r="E5" i="782"/>
  <c r="A13" i="782"/>
  <c r="A15" i="782"/>
  <c r="A10" i="782"/>
  <c r="A9" i="782"/>
  <c r="A8" i="782"/>
  <c r="A7" i="782"/>
  <c r="A5" i="782"/>
  <c r="A4" i="782"/>
  <c r="A5" i="783"/>
  <c r="A6" i="783" s="1"/>
  <c r="A7" i="783" s="1"/>
  <c r="A8" i="783" s="1"/>
  <c r="A9" i="783" s="1"/>
  <c r="A10" i="783" s="1"/>
  <c r="A11" i="783" s="1"/>
  <c r="A12" i="783" s="1"/>
  <c r="A13" i="783" s="1"/>
  <c r="A14" i="783" s="1"/>
  <c r="A15" i="783" s="1"/>
  <c r="A16" i="783" s="1"/>
  <c r="A17" i="783" s="1"/>
  <c r="A18" i="783" s="1"/>
  <c r="A19" i="783" s="1"/>
  <c r="A20" i="783" s="1"/>
  <c r="A21" i="783" s="1"/>
  <c r="A22" i="783" s="1"/>
  <c r="A23" i="783" s="1"/>
  <c r="A24" i="783" s="1"/>
  <c r="A25" i="783" s="1"/>
  <c r="A26" i="783" s="1"/>
  <c r="A27" i="783" s="1"/>
  <c r="A28" i="783" s="1"/>
  <c r="A29" i="783" s="1"/>
  <c r="A30" i="783" s="1"/>
  <c r="A31" i="783" s="1"/>
  <c r="A32" i="783" s="1"/>
  <c r="A33" i="783" s="1"/>
  <c r="A34" i="783" s="1"/>
  <c r="A35" i="783" s="1"/>
  <c r="A36" i="783" s="1"/>
  <c r="A37" i="783" s="1"/>
  <c r="A38" i="783" s="1"/>
  <c r="A39" i="783" s="1"/>
  <c r="A40" i="783" s="1"/>
  <c r="A41" i="783" s="1"/>
  <c r="A42" i="783" s="1"/>
  <c r="A43" i="783" s="1"/>
  <c r="A44" i="783" s="1"/>
  <c r="A45" i="783" s="1"/>
  <c r="A46" i="783" s="1"/>
  <c r="A47" i="783" s="1"/>
  <c r="A48" i="783" s="1"/>
  <c r="A49" i="783" s="1"/>
  <c r="A50" i="783" s="1"/>
  <c r="A51" i="783" s="1"/>
  <c r="A52" i="783" s="1"/>
  <c r="A53" i="783" s="1"/>
  <c r="A54" i="783" s="1"/>
  <c r="A55" i="783" s="1"/>
  <c r="A56" i="783" s="1"/>
  <c r="A57" i="783" s="1"/>
  <c r="A58" i="783" s="1"/>
  <c r="A59" i="783" s="1"/>
  <c r="A60" i="783" s="1"/>
  <c r="A61" i="783" s="1"/>
  <c r="A62" i="783" s="1"/>
  <c r="A63" i="783" s="1"/>
  <c r="A64" i="783" s="1"/>
  <c r="A65" i="783" s="1"/>
  <c r="A66" i="783" s="1"/>
  <c r="A67" i="783" s="1"/>
  <c r="A68" i="783" s="1"/>
  <c r="A69" i="783" s="1"/>
  <c r="A70" i="783" s="1"/>
  <c r="A71" i="783" s="1"/>
  <c r="A72" i="783" s="1"/>
  <c r="A73" i="783" s="1"/>
  <c r="A74" i="783" s="1"/>
  <c r="A75" i="783" s="1"/>
  <c r="A76" i="783" s="1"/>
  <c r="A77" i="783" s="1"/>
  <c r="A78" i="783" s="1"/>
  <c r="A79" i="783" s="1"/>
  <c r="A80" i="783" s="1"/>
  <c r="A81" i="783" s="1"/>
  <c r="A82" i="783" s="1"/>
  <c r="A83" i="783" s="1"/>
  <c r="A84" i="783" s="1"/>
  <c r="A85" i="783" s="1"/>
  <c r="A86" i="783" s="1"/>
  <c r="A87" i="783" s="1"/>
  <c r="A88" i="783" s="1"/>
  <c r="A89" i="783" s="1"/>
  <c r="A90" i="783" s="1"/>
  <c r="A91" i="783" s="1"/>
  <c r="A92" i="783" s="1"/>
  <c r="A93" i="783" s="1"/>
  <c r="A94" i="783" s="1"/>
  <c r="A95" i="783" s="1"/>
  <c r="A96" i="783" s="1"/>
  <c r="A97" i="783" s="1"/>
  <c r="A98" i="783" s="1"/>
  <c r="A99" i="783" s="1"/>
  <c r="A100" i="783" s="1"/>
  <c r="A101" i="783" s="1"/>
  <c r="A102" i="783" s="1"/>
  <c r="A4" i="783"/>
  <c r="E10" i="780"/>
  <c r="E9" i="780"/>
  <c r="E8" i="780"/>
  <c r="E6" i="780"/>
  <c r="E14" i="782"/>
  <c r="E13" i="782"/>
  <c r="C12" i="782"/>
  <c r="G9" i="782"/>
  <c r="C7" i="782"/>
  <c r="C4" i="782"/>
  <c r="F19" i="783"/>
  <c r="F6" i="783"/>
  <c r="F3" i="783"/>
  <c r="C21" i="767"/>
  <c r="C19" i="767"/>
  <c r="C16" i="767"/>
  <c r="C13" i="767"/>
  <c r="C11" i="767"/>
  <c r="C10" i="767"/>
  <c r="C9" i="767"/>
  <c r="C7" i="767"/>
  <c r="C6" i="767"/>
  <c r="C5" i="767"/>
  <c r="C4" i="767"/>
  <c r="C3" i="767"/>
  <c r="M77" i="776"/>
  <c r="G77" i="776" a="1"/>
  <c r="H58" i="776" a="1"/>
  <c r="M47" i="776"/>
  <c r="M39" i="776"/>
  <c r="K39" i="776" a="1"/>
  <c r="F33" i="776" a="1"/>
  <c r="C10" i="780"/>
  <c r="C9" i="780"/>
  <c r="C8" i="780"/>
  <c r="C6" i="780"/>
  <c r="C14" i="782"/>
  <c r="C13" i="782"/>
  <c r="A12" i="782"/>
  <c r="C9" i="782"/>
  <c r="G6" i="782"/>
  <c r="H20" i="783"/>
  <c r="H17" i="783"/>
  <c r="H5" i="783"/>
  <c r="D3" i="783"/>
  <c r="E20" i="767"/>
  <c r="E18" i="767"/>
  <c r="E14" i="767"/>
  <c r="E12" i="767"/>
  <c r="K10" i="767"/>
  <c r="K9" i="767"/>
  <c r="K8" i="767"/>
  <c r="K6" i="767"/>
  <c r="K5" i="767"/>
  <c r="K4" i="767"/>
  <c r="K3" i="767"/>
  <c r="M85" i="776"/>
  <c r="K84" i="776" a="1"/>
  <c r="M71" i="776"/>
  <c r="K70" i="776" a="1"/>
  <c r="H64" i="776" a="1"/>
  <c r="M53" i="776"/>
  <c r="M46" i="776"/>
  <c r="K46" i="776" a="1"/>
  <c r="F39" i="776" a="1"/>
  <c r="M26" i="776"/>
  <c r="I9" i="780"/>
  <c r="I8" i="780"/>
  <c r="E7" i="780"/>
  <c r="C15" i="782"/>
  <c r="A14" i="782"/>
  <c r="G12" i="782"/>
  <c r="G10" i="782"/>
  <c r="G8" i="782"/>
  <c r="G5" i="782"/>
  <c r="F20" i="783"/>
  <c r="F17" i="783"/>
  <c r="F10" i="783" a="1"/>
  <c r="F5" i="783"/>
  <c r="B3" i="783" a="1"/>
  <c r="C20" i="767"/>
  <c r="C18" i="767"/>
  <c r="C14" i="767"/>
  <c r="C12" i="767"/>
  <c r="I10" i="767"/>
  <c r="I9" i="767"/>
  <c r="I8" i="767"/>
  <c r="I6" i="767"/>
  <c r="I5" i="767"/>
  <c r="I4" i="767"/>
  <c r="I3" i="767"/>
  <c r="M84" i="776"/>
  <c r="G84" i="776" a="1"/>
  <c r="M70" i="776"/>
  <c r="G70" i="776" a="1"/>
  <c r="M52" i="776"/>
  <c r="K52" i="776" a="1"/>
  <c r="F46" i="776" a="1"/>
  <c r="M34" i="776"/>
  <c r="M25" i="776"/>
  <c r="G9" i="780"/>
  <c r="G13" i="782"/>
  <c r="C5" i="782"/>
  <c r="H6" i="783"/>
  <c r="E19" i="767"/>
  <c r="E10" i="767"/>
  <c r="E5" i="767"/>
  <c r="K77" i="776" a="1"/>
  <c r="K25" i="776" a="1"/>
  <c r="F18" i="776" a="1"/>
  <c r="M6" i="776"/>
  <c r="G10" i="770" a="1"/>
  <c r="K4" i="758" a="1"/>
  <c r="D33" i="757"/>
  <c r="K16" i="757"/>
  <c r="M4" i="756" a="1"/>
  <c r="G8" i="780"/>
  <c r="E12" i="782"/>
  <c r="H19" i="783"/>
  <c r="H3" i="783"/>
  <c r="E16" i="767"/>
  <c r="E9" i="767"/>
  <c r="E4" i="767"/>
  <c r="M33" i="776"/>
  <c r="F25" i="776" a="1"/>
  <c r="M13" i="776"/>
  <c r="M5" i="776"/>
  <c r="K5" i="776" a="1"/>
  <c r="D10" i="770" a="1"/>
  <c r="I4" i="758" a="1"/>
  <c r="C33" i="757"/>
  <c r="J16" i="757"/>
  <c r="C7" i="780"/>
  <c r="C10" i="782"/>
  <c r="H10" i="783"/>
  <c r="E13" i="767"/>
  <c r="E7" i="767"/>
  <c r="E3" i="767"/>
  <c r="F52" i="776" a="1"/>
  <c r="K33" i="776" a="1"/>
  <c r="M19" i="776"/>
  <c r="M12" i="776"/>
  <c r="K12" i="776" a="1"/>
  <c r="F5" i="776" a="1"/>
  <c r="B16" i="768"/>
  <c r="F33" i="757"/>
  <c r="M16" i="757"/>
  <c r="F4" i="756" a="1"/>
  <c r="G14" i="782"/>
  <c r="M40" i="776"/>
  <c r="M18" i="776"/>
  <c r="P4" i="758" a="1"/>
  <c r="E33" i="757"/>
  <c r="V22" i="755" a="1"/>
  <c r="J6" i="755" a="1"/>
  <c r="V21" i="754"/>
  <c r="I16" i="753"/>
  <c r="I8" i="753"/>
  <c r="N4" i="753"/>
  <c r="I2" i="753"/>
  <c r="I14" i="752"/>
  <c r="I3" i="752"/>
  <c r="O7" i="779"/>
  <c r="D7" i="779"/>
  <c r="L6" i="779"/>
  <c r="B6" i="779"/>
  <c r="D5" i="779"/>
  <c r="B4" i="779"/>
  <c r="W11" i="781"/>
  <c r="Q10" i="781"/>
  <c r="J9" i="781"/>
  <c r="AA7" i="781" a="1"/>
  <c r="O7" i="781" a="1"/>
  <c r="M24" i="415"/>
  <c r="C8" i="782"/>
  <c r="E21" i="767"/>
  <c r="M78" i="776"/>
  <c r="K18" i="776" a="1"/>
  <c r="F12" i="776" a="1"/>
  <c r="L16" i="757"/>
  <c r="I4" i="756" a="1"/>
  <c r="V40" i="755" a="1"/>
  <c r="V4" i="755" a="1"/>
  <c r="N21" i="754"/>
  <c r="I11" i="753"/>
  <c r="N7" i="753"/>
  <c r="I4" i="753"/>
  <c r="I1" i="753"/>
  <c r="I13" i="752"/>
  <c r="I2" i="752"/>
  <c r="L7" i="779"/>
  <c r="B7" i="779"/>
  <c r="J6" i="779"/>
  <c r="L5" i="779"/>
  <c r="B5" i="779"/>
  <c r="W12" i="781"/>
  <c r="Q11" i="781"/>
  <c r="J10" i="781"/>
  <c r="W8" i="781"/>
  <c r="W7" i="781"/>
  <c r="J7" i="781"/>
  <c r="E11" i="767"/>
  <c r="V22" i="754"/>
  <c r="V7" i="754"/>
  <c r="I9" i="753"/>
  <c r="I7" i="753"/>
  <c r="N3" i="753"/>
  <c r="I20" i="752"/>
  <c r="I7" i="752"/>
  <c r="Q8" i="779"/>
  <c r="J7" i="779"/>
  <c r="Q6" i="779"/>
  <c r="H6" i="779"/>
  <c r="J5" i="779"/>
  <c r="H4" i="779"/>
  <c r="Q12" i="781"/>
  <c r="J11" i="781"/>
  <c r="W9" i="781"/>
  <c r="Q8" i="781"/>
  <c r="U7" i="781" a="1"/>
  <c r="H7" i="781" a="1"/>
  <c r="I5" i="753"/>
  <c r="Q7" i="779"/>
  <c r="H5" i="779"/>
  <c r="Q9" i="781"/>
  <c r="Q7" i="781"/>
  <c r="I3" i="415" a="1"/>
  <c r="D16" i="744"/>
  <c r="D13" i="744"/>
  <c r="D8" i="744"/>
  <c r="M4" i="15" a="1"/>
  <c r="U21" i="368"/>
  <c r="O19" i="368"/>
  <c r="O15" i="368"/>
  <c r="O11" i="368"/>
  <c r="U7" i="368"/>
  <c r="O5" i="368"/>
  <c r="N23" i="12"/>
  <c r="N22" i="12"/>
  <c r="O22" i="11"/>
  <c r="I12" i="712" a="1"/>
  <c r="F11" i="712"/>
  <c r="I8" i="712" a="1"/>
  <c r="F7" i="712"/>
  <c r="G23" i="484"/>
  <c r="G21" i="484"/>
  <c r="G19" i="484"/>
  <c r="G17" i="484"/>
  <c r="G13" i="484"/>
  <c r="G11" i="484"/>
  <c r="G13" i="485"/>
  <c r="G9" i="485"/>
  <c r="G4" i="485"/>
  <c r="E18" i="483"/>
  <c r="J16" i="483" a="1"/>
  <c r="J15" i="483" a="1"/>
  <c r="J14" i="483" a="1"/>
  <c r="G3" i="7" a="1"/>
  <c r="D8" i="639"/>
  <c r="D5" i="639"/>
  <c r="D3" i="639"/>
  <c r="F26" i="457"/>
  <c r="N22" i="754"/>
  <c r="I3" i="753"/>
  <c r="H7" i="779"/>
  <c r="D4" i="779"/>
  <c r="J8" i="781"/>
  <c r="E26" i="553"/>
  <c r="B16" i="744"/>
  <c r="D12" i="744"/>
  <c r="D7" i="744"/>
  <c r="U22" i="368"/>
  <c r="O21" i="368"/>
  <c r="O18" i="368"/>
  <c r="O14" i="368"/>
  <c r="O10" i="368"/>
  <c r="O7" i="368"/>
  <c r="M14" i="13"/>
  <c r="K23" i="12"/>
  <c r="K22" i="12"/>
  <c r="L22" i="11"/>
  <c r="I13" i="712" a="1"/>
  <c r="F12" i="712"/>
  <c r="I9" i="712" a="1"/>
  <c r="F8" i="712"/>
  <c r="I5" i="712" a="1"/>
  <c r="F23" i="484"/>
  <c r="F21" i="484"/>
  <c r="F19" i="484"/>
  <c r="F17" i="484"/>
  <c r="F13" i="484"/>
  <c r="F11" i="484"/>
  <c r="G12" i="485"/>
  <c r="E9" i="485"/>
  <c r="G3" i="485"/>
  <c r="E14" i="483"/>
  <c r="J13" i="483" a="1"/>
  <c r="L15" i="482" a="1"/>
  <c r="L14" i="482" a="1"/>
  <c r="L13" i="482" a="1"/>
  <c r="D11" i="639"/>
  <c r="B8" i="639"/>
  <c r="B5" i="639"/>
  <c r="B3" i="639"/>
  <c r="F17" i="457" a="1"/>
  <c r="E6" i="767"/>
  <c r="I5" i="771" a="1"/>
  <c r="N7" i="754"/>
  <c r="X5" i="754" a="1"/>
  <c r="I17" i="752"/>
  <c r="O6" i="779"/>
  <c r="J12" i="781"/>
  <c r="E4" i="553" a="1"/>
  <c r="D15" i="744"/>
  <c r="D10" i="744"/>
  <c r="D6" i="744"/>
  <c r="O22" i="368"/>
  <c r="M21" i="368"/>
  <c r="O17" i="368"/>
  <c r="O13" i="368"/>
  <c r="O9" i="368"/>
  <c r="M7" i="368"/>
  <c r="M11" i="13"/>
  <c r="J23" i="12"/>
  <c r="J22" i="12"/>
  <c r="L21" i="11"/>
  <c r="F13" i="712"/>
  <c r="I10" i="712" a="1"/>
  <c r="F9" i="712"/>
  <c r="I6" i="712" a="1"/>
  <c r="F5" i="712"/>
  <c r="H4" i="712" a="1"/>
  <c r="G22" i="484"/>
  <c r="G20" i="484"/>
  <c r="G18" i="484"/>
  <c r="G14" i="484"/>
  <c r="G12" i="484"/>
  <c r="G10" i="484"/>
  <c r="E12" i="485"/>
  <c r="G8" i="485"/>
  <c r="F23" i="483"/>
  <c r="D9" i="639"/>
  <c r="D7" i="639"/>
  <c r="D4" i="639"/>
  <c r="J3" i="464" a="1"/>
  <c r="I6" i="752"/>
  <c r="O12" i="368"/>
  <c r="O22" i="12"/>
  <c r="I11" i="712" a="1"/>
  <c r="F6" i="712"/>
  <c r="F4" i="712"/>
  <c r="F14" i="484"/>
  <c r="G6" i="485"/>
  <c r="B4" i="639"/>
  <c r="AD3" i="457" a="1"/>
  <c r="H20" i="555"/>
  <c r="G5" i="555" a="1"/>
  <c r="J5" i="457" a="1"/>
  <c r="K5" i="555" a="1"/>
  <c r="D6" i="779"/>
  <c r="C4" i="553" a="1"/>
  <c r="M22" i="368"/>
  <c r="O8" i="368"/>
  <c r="P22" i="11"/>
  <c r="F10" i="712"/>
  <c r="I4" i="712"/>
  <c r="F22" i="484"/>
  <c r="F12" i="484"/>
  <c r="E23" i="483"/>
  <c r="Y3" i="457" a="1"/>
  <c r="S5" i="555" a="1"/>
  <c r="E5" i="555" a="1"/>
  <c r="D9" i="744"/>
  <c r="O23" i="12"/>
  <c r="I7" i="712" a="1"/>
  <c r="H19" i="555"/>
  <c r="W10" i="781"/>
  <c r="C12" i="702"/>
  <c r="B15" i="744"/>
  <c r="M25" i="15" a="1"/>
  <c r="O20" i="368"/>
  <c r="O6" i="368"/>
  <c r="W5" i="368" a="1"/>
  <c r="F15" i="712"/>
  <c r="F20" i="484"/>
  <c r="F10" i="484"/>
  <c r="Q6" i="7" a="1"/>
  <c r="M4" i="7" a="1"/>
  <c r="B9" i="639"/>
  <c r="F3" i="464" a="1"/>
  <c r="O5" i="457" a="1"/>
  <c r="H5" i="556" a="1"/>
  <c r="M19" i="555" a="1"/>
  <c r="U5" i="555" a="1"/>
  <c r="M5" i="555" a="1"/>
  <c r="G3" i="686" a="1"/>
  <c r="N8" i="753"/>
  <c r="Q3" i="415" a="1"/>
  <c r="O16" i="368"/>
  <c r="F18" i="484"/>
  <c r="G10" i="485"/>
  <c r="B7" i="639"/>
  <c r="F5" i="457" a="1"/>
  <c r="E5" i="556" a="1"/>
  <c r="E10" i="556" l="1"/>
  <c r="E8" i="556"/>
  <c r="E6" i="556"/>
  <c r="F8" i="556"/>
  <c r="F9" i="556"/>
  <c r="F7" i="556"/>
  <c r="F5" i="556"/>
  <c r="F10" i="556"/>
  <c r="F6" i="556"/>
  <c r="E9" i="556"/>
  <c r="E7" i="556"/>
  <c r="E5" i="556"/>
  <c r="H13" i="457"/>
  <c r="G12" i="457"/>
  <c r="F11" i="457"/>
  <c r="H9" i="457"/>
  <c r="G8" i="457"/>
  <c r="F7" i="457"/>
  <c r="H5" i="457"/>
  <c r="F6" i="457"/>
  <c r="G13" i="457"/>
  <c r="F12" i="457"/>
  <c r="H10" i="457"/>
  <c r="G9" i="457"/>
  <c r="F8" i="457"/>
  <c r="H6" i="457"/>
  <c r="G5" i="457"/>
  <c r="F13" i="457"/>
  <c r="H11" i="457"/>
  <c r="G10" i="457"/>
  <c r="F9" i="457"/>
  <c r="H7" i="457"/>
  <c r="G6" i="457"/>
  <c r="F5" i="457"/>
  <c r="H12" i="457"/>
  <c r="G11" i="457"/>
  <c r="F10" i="457"/>
  <c r="H8" i="457"/>
  <c r="G7" i="457"/>
  <c r="T18" i="415"/>
  <c r="W17" i="415"/>
  <c r="S17" i="415"/>
  <c r="V16" i="415"/>
  <c r="R16" i="415"/>
  <c r="U15" i="415"/>
  <c r="Q15" i="415"/>
  <c r="T14" i="415"/>
  <c r="W13" i="415"/>
  <c r="S13" i="415"/>
  <c r="V12" i="415"/>
  <c r="R12" i="415"/>
  <c r="W18" i="415"/>
  <c r="S18" i="415"/>
  <c r="V17" i="415"/>
  <c r="R17" i="415"/>
  <c r="U16" i="415"/>
  <c r="Q16" i="415"/>
  <c r="T15" i="415"/>
  <c r="W14" i="415"/>
  <c r="S14" i="415"/>
  <c r="V13" i="415"/>
  <c r="R13" i="415"/>
  <c r="U12" i="415"/>
  <c r="Q12" i="415"/>
  <c r="T11" i="415"/>
  <c r="W10" i="415"/>
  <c r="S10" i="415"/>
  <c r="V9" i="415"/>
  <c r="V18" i="415"/>
  <c r="R18" i="415"/>
  <c r="U17" i="415"/>
  <c r="Q17" i="415"/>
  <c r="T16" i="415"/>
  <c r="W15" i="415"/>
  <c r="S15" i="415"/>
  <c r="V14" i="415"/>
  <c r="R14" i="415"/>
  <c r="U13" i="415"/>
  <c r="Q13" i="415"/>
  <c r="T12" i="415"/>
  <c r="W11" i="415"/>
  <c r="S11" i="415"/>
  <c r="V10" i="415"/>
  <c r="R10" i="415"/>
  <c r="U18" i="415"/>
  <c r="S16" i="415"/>
  <c r="Q14" i="415"/>
  <c r="V11" i="415"/>
  <c r="U10" i="415"/>
  <c r="U9" i="415"/>
  <c r="Q9" i="415"/>
  <c r="T8" i="415"/>
  <c r="W7" i="415"/>
  <c r="S7" i="415"/>
  <c r="V6" i="415"/>
  <c r="R6" i="415"/>
  <c r="U5" i="415"/>
  <c r="Q5" i="415"/>
  <c r="T4" i="415"/>
  <c r="W3" i="415"/>
  <c r="S3" i="415"/>
  <c r="Q18" i="415"/>
  <c r="V15" i="415"/>
  <c r="T13" i="415"/>
  <c r="U11" i="415"/>
  <c r="T10" i="415"/>
  <c r="T9" i="415"/>
  <c r="W8" i="415"/>
  <c r="S8" i="415"/>
  <c r="V7" i="415"/>
  <c r="R7" i="415"/>
  <c r="U6" i="415"/>
  <c r="Q6" i="415"/>
  <c r="T5" i="415"/>
  <c r="W4" i="415"/>
  <c r="S4" i="415"/>
  <c r="V3" i="415"/>
  <c r="R3" i="415"/>
  <c r="T17" i="415"/>
  <c r="R15" i="415"/>
  <c r="W12" i="415"/>
  <c r="R11" i="415"/>
  <c r="Q10" i="415"/>
  <c r="S9" i="415"/>
  <c r="V8" i="415"/>
  <c r="R8" i="415"/>
  <c r="U7" i="415"/>
  <c r="Q7" i="415"/>
  <c r="T6" i="415"/>
  <c r="W5" i="415"/>
  <c r="S5" i="415"/>
  <c r="V4" i="415"/>
  <c r="R4" i="415"/>
  <c r="U3" i="415"/>
  <c r="Q3" i="415"/>
  <c r="U14" i="415"/>
  <c r="R9" i="415"/>
  <c r="W6" i="415"/>
  <c r="U4" i="415"/>
  <c r="S12" i="415"/>
  <c r="U8" i="415"/>
  <c r="S6" i="415"/>
  <c r="Q4" i="415"/>
  <c r="W16" i="415"/>
  <c r="W9" i="415"/>
  <c r="T7" i="415"/>
  <c r="R5" i="415"/>
  <c r="Q11" i="415"/>
  <c r="Q8" i="415"/>
  <c r="V5" i="415"/>
  <c r="T3" i="415"/>
  <c r="H13" i="686"/>
  <c r="H11" i="686"/>
  <c r="H9" i="686"/>
  <c r="H7" i="686"/>
  <c r="H5" i="686"/>
  <c r="H3" i="686"/>
  <c r="G10" i="686"/>
  <c r="G13" i="686"/>
  <c r="G11" i="686"/>
  <c r="G9" i="686"/>
  <c r="G7" i="686"/>
  <c r="G5" i="686"/>
  <c r="G3" i="686"/>
  <c r="G14" i="686"/>
  <c r="G8" i="686"/>
  <c r="H14" i="686"/>
  <c r="H12" i="686"/>
  <c r="H10" i="686"/>
  <c r="H8" i="686"/>
  <c r="H6" i="686"/>
  <c r="H4" i="686"/>
  <c r="G12" i="686"/>
  <c r="G6" i="686"/>
  <c r="G4" i="686"/>
  <c r="M14" i="555"/>
  <c r="M10" i="555"/>
  <c r="M6" i="555"/>
  <c r="M15" i="555"/>
  <c r="M11" i="555"/>
  <c r="M13" i="555"/>
  <c r="M9" i="555"/>
  <c r="M5" i="555"/>
  <c r="M16" i="555"/>
  <c r="M12" i="555"/>
  <c r="M8" i="555"/>
  <c r="M7" i="555"/>
  <c r="U10" i="555"/>
  <c r="U6" i="555"/>
  <c r="U7" i="555"/>
  <c r="U9" i="555"/>
  <c r="U5" i="555"/>
  <c r="U8" i="555"/>
  <c r="M28" i="555"/>
  <c r="M24" i="555"/>
  <c r="M20" i="555"/>
  <c r="M29" i="555"/>
  <c r="M21" i="555"/>
  <c r="M31" i="555"/>
  <c r="M27" i="555"/>
  <c r="M23" i="555"/>
  <c r="M19" i="555"/>
  <c r="M25" i="555"/>
  <c r="M30" i="555"/>
  <c r="M26" i="555"/>
  <c r="M22" i="555"/>
  <c r="I7" i="556"/>
  <c r="I6" i="556"/>
  <c r="I5" i="556"/>
  <c r="J6" i="556"/>
  <c r="H7" i="556"/>
  <c r="H6" i="556"/>
  <c r="H5" i="556"/>
  <c r="J7" i="556"/>
  <c r="K7" i="556"/>
  <c r="K6" i="556"/>
  <c r="K5" i="556"/>
  <c r="J5" i="556"/>
  <c r="P13" i="457"/>
  <c r="P12" i="457"/>
  <c r="P11" i="457"/>
  <c r="P10" i="457"/>
  <c r="P9" i="457"/>
  <c r="P8" i="457"/>
  <c r="P7" i="457"/>
  <c r="P6" i="457"/>
  <c r="P5" i="457"/>
  <c r="O13" i="457"/>
  <c r="O12" i="457"/>
  <c r="O11" i="457"/>
  <c r="O10" i="457"/>
  <c r="O9" i="457"/>
  <c r="O8" i="457"/>
  <c r="O7" i="457"/>
  <c r="O6" i="457"/>
  <c r="O5" i="457"/>
  <c r="R13" i="457"/>
  <c r="R12" i="457"/>
  <c r="R11" i="457"/>
  <c r="R10" i="457"/>
  <c r="R9" i="457"/>
  <c r="R8" i="457"/>
  <c r="Q11" i="457"/>
  <c r="R7" i="457"/>
  <c r="R5" i="457"/>
  <c r="Q12" i="457"/>
  <c r="Q8" i="457"/>
  <c r="Q10" i="457"/>
  <c r="Q7" i="457"/>
  <c r="Q5" i="457"/>
  <c r="Q13" i="457"/>
  <c r="Q9" i="457"/>
  <c r="R6" i="457"/>
  <c r="Q6" i="457"/>
  <c r="G14" i="464"/>
  <c r="F13" i="464"/>
  <c r="H11" i="464"/>
  <c r="G10" i="464"/>
  <c r="F9" i="464"/>
  <c r="H7" i="464"/>
  <c r="G6" i="464"/>
  <c r="F5" i="464"/>
  <c r="H3" i="464"/>
  <c r="F14" i="464"/>
  <c r="H12" i="464"/>
  <c r="G11" i="464"/>
  <c r="F10" i="464"/>
  <c r="H8" i="464"/>
  <c r="G7" i="464"/>
  <c r="F6" i="464"/>
  <c r="H4" i="464"/>
  <c r="G3" i="464"/>
  <c r="H13" i="464"/>
  <c r="G12" i="464"/>
  <c r="F11" i="464"/>
  <c r="H9" i="464"/>
  <c r="G8" i="464"/>
  <c r="F7" i="464"/>
  <c r="H5" i="464"/>
  <c r="G4" i="464"/>
  <c r="F3" i="464"/>
  <c r="H10" i="464"/>
  <c r="G5" i="464"/>
  <c r="F12" i="464"/>
  <c r="H6" i="464"/>
  <c r="H14" i="464"/>
  <c r="G9" i="464"/>
  <c r="F4" i="464"/>
  <c r="G13" i="464"/>
  <c r="F8" i="464"/>
  <c r="O8" i="7"/>
  <c r="N7" i="7"/>
  <c r="M6" i="7"/>
  <c r="O4" i="7"/>
  <c r="N8" i="7"/>
  <c r="M7" i="7"/>
  <c r="O5" i="7"/>
  <c r="N4" i="7"/>
  <c r="M8" i="7"/>
  <c r="O6" i="7"/>
  <c r="N5" i="7"/>
  <c r="M4" i="7"/>
  <c r="N6" i="7"/>
  <c r="M5" i="7"/>
  <c r="O7" i="7"/>
  <c r="Q8" i="7"/>
  <c r="Q7" i="7"/>
  <c r="Q10" i="7"/>
  <c r="Q6" i="7"/>
  <c r="Q9" i="7"/>
  <c r="W19" i="368"/>
  <c r="W15" i="368"/>
  <c r="W11" i="368"/>
  <c r="W7" i="368"/>
  <c r="W18" i="368"/>
  <c r="W14" i="368"/>
  <c r="W10" i="368"/>
  <c r="W6" i="368"/>
  <c r="W17" i="368"/>
  <c r="W13" i="368"/>
  <c r="W9" i="368"/>
  <c r="W5" i="368"/>
  <c r="W12" i="368"/>
  <c r="W8" i="368"/>
  <c r="W16" i="368"/>
  <c r="N32" i="15"/>
  <c r="M31" i="15"/>
  <c r="O29" i="15"/>
  <c r="N28" i="15"/>
  <c r="M27" i="15"/>
  <c r="O25" i="15"/>
  <c r="M32" i="15"/>
  <c r="O30" i="15"/>
  <c r="N29" i="15"/>
  <c r="M28" i="15"/>
  <c r="O26" i="15"/>
  <c r="N25" i="15"/>
  <c r="O31" i="15"/>
  <c r="N30" i="15"/>
  <c r="M29" i="15"/>
  <c r="O27" i="15"/>
  <c r="N26" i="15"/>
  <c r="M25" i="15"/>
  <c r="O32" i="15"/>
  <c r="N27" i="15"/>
  <c r="N31" i="15"/>
  <c r="M26" i="15"/>
  <c r="M30" i="15"/>
  <c r="O28" i="15"/>
  <c r="I7" i="712"/>
  <c r="E13" i="555"/>
  <c r="E9" i="555"/>
  <c r="E5" i="555"/>
  <c r="E16" i="555"/>
  <c r="E12" i="555"/>
  <c r="E8" i="555"/>
  <c r="E10" i="555"/>
  <c r="E15" i="555"/>
  <c r="E11" i="555"/>
  <c r="E7" i="555"/>
  <c r="E14" i="555"/>
  <c r="E6" i="555"/>
  <c r="S9" i="555"/>
  <c r="S5" i="555"/>
  <c r="S10" i="555"/>
  <c r="S8" i="555"/>
  <c r="S7" i="555"/>
  <c r="S6" i="555"/>
  <c r="Y14" i="457"/>
  <c r="Y13" i="457"/>
  <c r="Y12" i="457"/>
  <c r="Y11" i="457"/>
  <c r="Y10" i="457"/>
  <c r="Y9" i="457"/>
  <c r="Y8" i="457"/>
  <c r="Y7" i="457"/>
  <c r="Y6" i="457"/>
  <c r="Y5" i="457"/>
  <c r="Y4" i="457"/>
  <c r="Y3" i="457"/>
  <c r="Z13" i="457"/>
  <c r="Z10" i="457"/>
  <c r="Z7" i="457"/>
  <c r="Z4" i="457"/>
  <c r="AB14" i="457"/>
  <c r="AB13" i="457"/>
  <c r="AB12" i="457"/>
  <c r="AB11" i="457"/>
  <c r="AB10" i="457"/>
  <c r="AB9" i="457"/>
  <c r="AB8" i="457"/>
  <c r="AB7" i="457"/>
  <c r="AB6" i="457"/>
  <c r="AB5" i="457"/>
  <c r="AB4" i="457"/>
  <c r="AB3" i="457"/>
  <c r="Z11" i="457"/>
  <c r="Z8" i="457"/>
  <c r="Z6" i="457"/>
  <c r="AA14" i="457"/>
  <c r="AA13" i="457"/>
  <c r="AA12" i="457"/>
  <c r="AA11" i="457"/>
  <c r="AA10" i="457"/>
  <c r="AA9" i="457"/>
  <c r="AA8" i="457"/>
  <c r="AA7" i="457"/>
  <c r="AA6" i="457"/>
  <c r="AA5" i="457"/>
  <c r="AA4" i="457"/>
  <c r="AA3" i="457"/>
  <c r="Z14" i="457"/>
  <c r="Z12" i="457"/>
  <c r="Z9" i="457"/>
  <c r="Z5" i="457"/>
  <c r="Z3" i="457"/>
  <c r="C22" i="553"/>
  <c r="C18" i="553"/>
  <c r="C14" i="553"/>
  <c r="C10" i="553"/>
  <c r="C6" i="553"/>
  <c r="C21" i="553"/>
  <c r="C17" i="553"/>
  <c r="C13" i="553"/>
  <c r="C9" i="553"/>
  <c r="C5" i="553"/>
  <c r="C20" i="553"/>
  <c r="C16" i="553"/>
  <c r="C12" i="553"/>
  <c r="C8" i="553"/>
  <c r="C4" i="553"/>
  <c r="C23" i="553"/>
  <c r="C7" i="553"/>
  <c r="C19" i="553"/>
  <c r="C15" i="553"/>
  <c r="C11" i="553"/>
  <c r="K15" i="555"/>
  <c r="K11" i="555"/>
  <c r="K7" i="555"/>
  <c r="K16" i="555"/>
  <c r="K14" i="555"/>
  <c r="K10" i="555"/>
  <c r="K6" i="555"/>
  <c r="K12" i="555"/>
  <c r="K13" i="555"/>
  <c r="K9" i="555"/>
  <c r="K5" i="555"/>
  <c r="K8" i="555"/>
  <c r="L12" i="457"/>
  <c r="L11" i="457"/>
  <c r="L10" i="457"/>
  <c r="L9" i="457"/>
  <c r="L8" i="457"/>
  <c r="L7" i="457"/>
  <c r="L6" i="457"/>
  <c r="L5" i="457"/>
  <c r="M12" i="457"/>
  <c r="M10" i="457"/>
  <c r="M8" i="457"/>
  <c r="M6" i="457"/>
  <c r="K12" i="457"/>
  <c r="K11" i="457"/>
  <c r="K10" i="457"/>
  <c r="K9" i="457"/>
  <c r="K8" i="457"/>
  <c r="K7" i="457"/>
  <c r="K6" i="457"/>
  <c r="K5" i="457"/>
  <c r="J12" i="457"/>
  <c r="J11" i="457"/>
  <c r="J10" i="457"/>
  <c r="J9" i="457"/>
  <c r="J8" i="457"/>
  <c r="J7" i="457"/>
  <c r="J6" i="457"/>
  <c r="J5" i="457"/>
  <c r="M11" i="457"/>
  <c r="M9" i="457"/>
  <c r="M7" i="457"/>
  <c r="M5" i="457"/>
  <c r="I8" i="555"/>
  <c r="H7" i="555"/>
  <c r="G6" i="555"/>
  <c r="H8" i="555"/>
  <c r="G7" i="555"/>
  <c r="I5" i="555"/>
  <c r="I7" i="555"/>
  <c r="G5" i="555"/>
  <c r="G8" i="555"/>
  <c r="I6" i="555"/>
  <c r="H5" i="555"/>
  <c r="H6" i="555"/>
  <c r="AG14" i="457"/>
  <c r="AG13" i="457"/>
  <c r="AG12" i="457"/>
  <c r="AG11" i="457"/>
  <c r="AG10" i="457"/>
  <c r="AG9" i="457"/>
  <c r="AG8" i="457"/>
  <c r="AG7" i="457"/>
  <c r="AG6" i="457"/>
  <c r="AG5" i="457"/>
  <c r="AG4" i="457"/>
  <c r="AG3" i="457"/>
  <c r="AD14" i="457"/>
  <c r="AD12" i="457"/>
  <c r="AD10" i="457"/>
  <c r="AD8" i="457"/>
  <c r="AD6" i="457"/>
  <c r="AD3" i="457"/>
  <c r="AF14" i="457"/>
  <c r="AF13" i="457"/>
  <c r="AF12" i="457"/>
  <c r="AF11" i="457"/>
  <c r="AF10" i="457"/>
  <c r="AF9" i="457"/>
  <c r="AF8" i="457"/>
  <c r="AF7" i="457"/>
  <c r="AF6" i="457"/>
  <c r="AF5" i="457"/>
  <c r="AF4" i="457"/>
  <c r="AF3" i="457"/>
  <c r="AD13" i="457"/>
  <c r="AD4" i="457"/>
  <c r="AE14" i="457"/>
  <c r="AE13" i="457"/>
  <c r="AE12" i="457"/>
  <c r="AE11" i="457"/>
  <c r="AE10" i="457"/>
  <c r="AE9" i="457"/>
  <c r="AE8" i="457"/>
  <c r="AE7" i="457"/>
  <c r="AE6" i="457"/>
  <c r="AE5" i="457"/>
  <c r="AE4" i="457"/>
  <c r="AE3" i="457"/>
  <c r="AD11" i="457"/>
  <c r="AD9" i="457"/>
  <c r="AD7" i="457"/>
  <c r="AD5" i="457"/>
  <c r="I11" i="712"/>
  <c r="K14" i="464"/>
  <c r="K13" i="464"/>
  <c r="K12" i="464"/>
  <c r="K11" i="464"/>
  <c r="K10" i="464"/>
  <c r="K9" i="464"/>
  <c r="K8" i="464"/>
  <c r="K7" i="464"/>
  <c r="K6" i="464"/>
  <c r="K5" i="464"/>
  <c r="K4" i="464"/>
  <c r="K3" i="464"/>
  <c r="J14" i="464"/>
  <c r="J13" i="464"/>
  <c r="J12" i="464"/>
  <c r="J11" i="464"/>
  <c r="J10" i="464"/>
  <c r="J9" i="464"/>
  <c r="J8" i="464"/>
  <c r="J7" i="464"/>
  <c r="J6" i="464"/>
  <c r="J5" i="464"/>
  <c r="J4" i="464"/>
  <c r="J3" i="464"/>
  <c r="M14" i="464"/>
  <c r="M13" i="464"/>
  <c r="M12" i="464"/>
  <c r="M11" i="464"/>
  <c r="M10" i="464"/>
  <c r="M9" i="464"/>
  <c r="M8" i="464"/>
  <c r="M7" i="464"/>
  <c r="M6" i="464"/>
  <c r="M5" i="464"/>
  <c r="M4" i="464"/>
  <c r="M3" i="464"/>
  <c r="L11" i="464"/>
  <c r="L7" i="464"/>
  <c r="L3" i="464"/>
  <c r="L12" i="464"/>
  <c r="L8" i="464"/>
  <c r="L4" i="464"/>
  <c r="L14" i="464"/>
  <c r="L10" i="464"/>
  <c r="L6" i="464"/>
  <c r="L13" i="464"/>
  <c r="L9" i="464"/>
  <c r="L5" i="464"/>
  <c r="H13" i="712"/>
  <c r="H9" i="712"/>
  <c r="H5" i="712"/>
  <c r="H12" i="712"/>
  <c r="H8" i="712"/>
  <c r="H4" i="712"/>
  <c r="H11" i="712"/>
  <c r="H7" i="712"/>
  <c r="H10" i="712"/>
  <c r="H6" i="712"/>
  <c r="I6" i="712"/>
  <c r="I10" i="712"/>
  <c r="E21" i="553"/>
  <c r="E17" i="553"/>
  <c r="E13" i="553"/>
  <c r="E9" i="553"/>
  <c r="E5" i="553"/>
  <c r="E20" i="553"/>
  <c r="E16" i="553"/>
  <c r="E12" i="553"/>
  <c r="E8" i="553"/>
  <c r="E4" i="553"/>
  <c r="E23" i="553"/>
  <c r="E19" i="553"/>
  <c r="E15" i="553"/>
  <c r="E11" i="553"/>
  <c r="E7" i="553"/>
  <c r="E18" i="553"/>
  <c r="E22" i="553"/>
  <c r="E14" i="553"/>
  <c r="E6" i="553"/>
  <c r="E10" i="553"/>
  <c r="X19" i="754"/>
  <c r="X15" i="754"/>
  <c r="X11" i="754"/>
  <c r="X7" i="754"/>
  <c r="X18" i="754"/>
  <c r="X14" i="754"/>
  <c r="X10" i="754"/>
  <c r="X6" i="754"/>
  <c r="X17" i="754"/>
  <c r="X13" i="754"/>
  <c r="X9" i="754"/>
  <c r="X5" i="754"/>
  <c r="X12" i="754"/>
  <c r="X8" i="754"/>
  <c r="X16" i="754"/>
  <c r="I7" i="771"/>
  <c r="I6" i="771"/>
  <c r="I5" i="771"/>
  <c r="I8" i="771"/>
  <c r="F21" i="457"/>
  <c r="F19" i="457"/>
  <c r="F17" i="457"/>
  <c r="G22" i="457"/>
  <c r="G20" i="457"/>
  <c r="G18" i="457"/>
  <c r="F22" i="457"/>
  <c r="F20" i="457"/>
  <c r="F18" i="457"/>
  <c r="G19" i="457"/>
  <c r="G17" i="457"/>
  <c r="G21" i="457"/>
  <c r="L13" i="482"/>
  <c r="N13" i="482"/>
  <c r="M13" i="482"/>
  <c r="L14" i="482"/>
  <c r="N14" i="482"/>
  <c r="M14" i="482"/>
  <c r="L15" i="482"/>
  <c r="N15" i="482"/>
  <c r="M15" i="482"/>
  <c r="J13" i="483"/>
  <c r="L13" i="483"/>
  <c r="K13" i="483"/>
  <c r="I5" i="712"/>
  <c r="I9" i="712"/>
  <c r="I13" i="712"/>
  <c r="G14" i="7"/>
  <c r="G10" i="7"/>
  <c r="G6" i="7"/>
  <c r="G13" i="7"/>
  <c r="G9" i="7"/>
  <c r="G5" i="7"/>
  <c r="G12" i="7"/>
  <c r="G8" i="7"/>
  <c r="G4" i="7"/>
  <c r="G7" i="7"/>
  <c r="G11" i="7"/>
  <c r="G3" i="7"/>
  <c r="L14" i="483"/>
  <c r="K14" i="483"/>
  <c r="J14" i="483"/>
  <c r="L15" i="483"/>
  <c r="K15" i="483"/>
  <c r="J15" i="483"/>
  <c r="L16" i="483"/>
  <c r="K16" i="483"/>
  <c r="J16" i="483"/>
  <c r="I8" i="712"/>
  <c r="I12" i="712"/>
  <c r="O11" i="15"/>
  <c r="N10" i="15"/>
  <c r="M9" i="15"/>
  <c r="O7" i="15"/>
  <c r="N6" i="15"/>
  <c r="M5" i="15"/>
  <c r="N11" i="15"/>
  <c r="M10" i="15"/>
  <c r="O8" i="15"/>
  <c r="N7" i="15"/>
  <c r="M6" i="15"/>
  <c r="O4" i="15"/>
  <c r="M11" i="15"/>
  <c r="O9" i="15"/>
  <c r="N8" i="15"/>
  <c r="M7" i="15"/>
  <c r="O5" i="15"/>
  <c r="N4" i="15"/>
  <c r="N9" i="15"/>
  <c r="M4" i="15"/>
  <c r="M8" i="15"/>
  <c r="O6" i="15"/>
  <c r="O10" i="15"/>
  <c r="N5" i="15"/>
  <c r="O22" i="415"/>
  <c r="K22" i="415"/>
  <c r="N21" i="415"/>
  <c r="J21" i="415"/>
  <c r="M20" i="415"/>
  <c r="I20" i="415"/>
  <c r="L19" i="415"/>
  <c r="O18" i="415"/>
  <c r="K18" i="415"/>
  <c r="N17" i="415"/>
  <c r="J17" i="415"/>
  <c r="M16" i="415"/>
  <c r="I16" i="415"/>
  <c r="L15" i="415"/>
  <c r="O14" i="415"/>
  <c r="K14" i="415"/>
  <c r="N13" i="415"/>
  <c r="J13" i="415"/>
  <c r="M12" i="415"/>
  <c r="I12" i="415"/>
  <c r="L11" i="415"/>
  <c r="O10" i="415"/>
  <c r="K10" i="415"/>
  <c r="N9" i="415"/>
  <c r="J9" i="415"/>
  <c r="M8" i="415"/>
  <c r="I8" i="415"/>
  <c r="L7" i="415"/>
  <c r="O6" i="415"/>
  <c r="K6" i="415"/>
  <c r="N5" i="415"/>
  <c r="J5" i="415"/>
  <c r="M4" i="415"/>
  <c r="I4" i="415"/>
  <c r="L3" i="415"/>
  <c r="N22" i="415"/>
  <c r="J22" i="415"/>
  <c r="M21" i="415"/>
  <c r="I21" i="415"/>
  <c r="L20" i="415"/>
  <c r="O19" i="415"/>
  <c r="K19" i="415"/>
  <c r="N18" i="415"/>
  <c r="J18" i="415"/>
  <c r="M17" i="415"/>
  <c r="I17" i="415"/>
  <c r="L16" i="415"/>
  <c r="O15" i="415"/>
  <c r="K15" i="415"/>
  <c r="N14" i="415"/>
  <c r="J14" i="415"/>
  <c r="M13" i="415"/>
  <c r="I13" i="415"/>
  <c r="L12" i="415"/>
  <c r="O11" i="415"/>
  <c r="K11" i="415"/>
  <c r="N10" i="415"/>
  <c r="J10" i="415"/>
  <c r="M9" i="415"/>
  <c r="I9" i="415"/>
  <c r="L8" i="415"/>
  <c r="O7" i="415"/>
  <c r="K7" i="415"/>
  <c r="N6" i="415"/>
  <c r="J6" i="415"/>
  <c r="M5" i="415"/>
  <c r="I5" i="415"/>
  <c r="L4" i="415"/>
  <c r="O3" i="415"/>
  <c r="K3" i="415"/>
  <c r="M22" i="415"/>
  <c r="I22" i="415"/>
  <c r="L21" i="415"/>
  <c r="O20" i="415"/>
  <c r="K20" i="415"/>
  <c r="N19" i="415"/>
  <c r="J19" i="415"/>
  <c r="M18" i="415"/>
  <c r="I18" i="415"/>
  <c r="L17" i="415"/>
  <c r="O16" i="415"/>
  <c r="K16" i="415"/>
  <c r="N15" i="415"/>
  <c r="J15" i="415"/>
  <c r="M14" i="415"/>
  <c r="I14" i="415"/>
  <c r="L13" i="415"/>
  <c r="O12" i="415"/>
  <c r="K12" i="415"/>
  <c r="N11" i="415"/>
  <c r="J11" i="415"/>
  <c r="M10" i="415"/>
  <c r="I10" i="415"/>
  <c r="L9" i="415"/>
  <c r="O8" i="415"/>
  <c r="K8" i="415"/>
  <c r="N7" i="415"/>
  <c r="J7" i="415"/>
  <c r="M6" i="415"/>
  <c r="I6" i="415"/>
  <c r="L5" i="415"/>
  <c r="O4" i="415"/>
  <c r="K4" i="415"/>
  <c r="N3" i="415"/>
  <c r="J3" i="415"/>
  <c r="L22" i="415"/>
  <c r="J20" i="415"/>
  <c r="O17" i="415"/>
  <c r="M15" i="415"/>
  <c r="K13" i="415"/>
  <c r="I11" i="415"/>
  <c r="N8" i="415"/>
  <c r="L6" i="415"/>
  <c r="J4" i="415"/>
  <c r="O21" i="415"/>
  <c r="M19" i="415"/>
  <c r="K17" i="415"/>
  <c r="I15" i="415"/>
  <c r="N12" i="415"/>
  <c r="L10" i="415"/>
  <c r="J8" i="415"/>
  <c r="O5" i="415"/>
  <c r="M3" i="415"/>
  <c r="N20" i="415"/>
  <c r="L18" i="415"/>
  <c r="J16" i="415"/>
  <c r="O13" i="415"/>
  <c r="M11" i="415"/>
  <c r="K9" i="415"/>
  <c r="I7" i="415"/>
  <c r="K21" i="415"/>
  <c r="I19" i="415"/>
  <c r="N16" i="415"/>
  <c r="L14" i="415"/>
  <c r="J12" i="415"/>
  <c r="O9" i="415"/>
  <c r="M7" i="415"/>
  <c r="K5" i="415"/>
  <c r="I3" i="415"/>
  <c r="N4" i="415"/>
  <c r="I11" i="781"/>
  <c r="I9" i="781"/>
  <c r="I7" i="781"/>
  <c r="H11" i="781"/>
  <c r="H9" i="781"/>
  <c r="H7" i="781"/>
  <c r="I12" i="781"/>
  <c r="I10" i="781"/>
  <c r="I8" i="781"/>
  <c r="H12" i="781"/>
  <c r="H10" i="781"/>
  <c r="H8" i="781"/>
  <c r="V11" i="781"/>
  <c r="V9" i="781"/>
  <c r="V7" i="781"/>
  <c r="U11" i="781"/>
  <c r="U9" i="781"/>
  <c r="U7" i="781"/>
  <c r="V12" i="781"/>
  <c r="V10" i="781"/>
  <c r="V8" i="781"/>
  <c r="U12" i="781"/>
  <c r="U10" i="781"/>
  <c r="U8" i="781"/>
  <c r="X10" i="755"/>
  <c r="W9" i="755"/>
  <c r="V8" i="755"/>
  <c r="X6" i="755"/>
  <c r="W5" i="755"/>
  <c r="V4" i="755"/>
  <c r="X11" i="755"/>
  <c r="W10" i="755"/>
  <c r="V9" i="755"/>
  <c r="X7" i="755"/>
  <c r="W6" i="755"/>
  <c r="V5" i="755"/>
  <c r="W11" i="755"/>
  <c r="V10" i="755"/>
  <c r="X8" i="755"/>
  <c r="W7" i="755"/>
  <c r="V6" i="755"/>
  <c r="X4" i="755"/>
  <c r="X9" i="755"/>
  <c r="W4" i="755"/>
  <c r="W8" i="755"/>
  <c r="V7" i="755"/>
  <c r="V11" i="755"/>
  <c r="X5" i="755"/>
  <c r="W49" i="755"/>
  <c r="V48" i="755"/>
  <c r="X46" i="755"/>
  <c r="W45" i="755"/>
  <c r="V44" i="755"/>
  <c r="X42" i="755"/>
  <c r="V49" i="755"/>
  <c r="X47" i="755"/>
  <c r="W46" i="755"/>
  <c r="V45" i="755"/>
  <c r="X43" i="755"/>
  <c r="X48" i="755"/>
  <c r="W47" i="755"/>
  <c r="X49" i="755"/>
  <c r="X45" i="755"/>
  <c r="V43" i="755"/>
  <c r="W41" i="755"/>
  <c r="V40" i="755"/>
  <c r="W48" i="755"/>
  <c r="X44" i="755"/>
  <c r="W42" i="755"/>
  <c r="V41" i="755"/>
  <c r="V47" i="755"/>
  <c r="W44" i="755"/>
  <c r="V42" i="755"/>
  <c r="X40" i="755"/>
  <c r="W40" i="755"/>
  <c r="V46" i="755"/>
  <c r="W43" i="755"/>
  <c r="X41" i="755"/>
  <c r="K12" i="756"/>
  <c r="J11" i="756"/>
  <c r="I10" i="756"/>
  <c r="K8" i="756"/>
  <c r="J7" i="756"/>
  <c r="I6" i="756"/>
  <c r="K4" i="756"/>
  <c r="K13" i="756"/>
  <c r="J12" i="756"/>
  <c r="I11" i="756"/>
  <c r="K9" i="756"/>
  <c r="J8" i="756"/>
  <c r="I7" i="756"/>
  <c r="K5" i="756"/>
  <c r="J4" i="756"/>
  <c r="J13" i="756"/>
  <c r="I12" i="756"/>
  <c r="K10" i="756"/>
  <c r="J9" i="756"/>
  <c r="I8" i="756"/>
  <c r="K6" i="756"/>
  <c r="J5" i="756"/>
  <c r="I4" i="756"/>
  <c r="J10" i="756"/>
  <c r="I5" i="756"/>
  <c r="I9" i="756"/>
  <c r="I13" i="756"/>
  <c r="K7" i="756"/>
  <c r="K11" i="756"/>
  <c r="J6" i="756"/>
  <c r="H14" i="776"/>
  <c r="H13" i="776"/>
  <c r="H12" i="776"/>
  <c r="G14" i="776"/>
  <c r="G13" i="776"/>
  <c r="G12" i="776"/>
  <c r="F14" i="776"/>
  <c r="F13" i="776"/>
  <c r="F12" i="776"/>
  <c r="I12" i="776"/>
  <c r="I14" i="776"/>
  <c r="I13" i="776"/>
  <c r="K20" i="776"/>
  <c r="K19" i="776"/>
  <c r="K18" i="776"/>
  <c r="P12" i="781"/>
  <c r="P10" i="781"/>
  <c r="P8" i="781"/>
  <c r="O12" i="781"/>
  <c r="O10" i="781"/>
  <c r="O8" i="781"/>
  <c r="P11" i="781"/>
  <c r="P9" i="781"/>
  <c r="P7" i="781"/>
  <c r="O11" i="781"/>
  <c r="O9" i="781"/>
  <c r="O7" i="781"/>
  <c r="AB12" i="781"/>
  <c r="AB10" i="781"/>
  <c r="AB8" i="781"/>
  <c r="AA12" i="781"/>
  <c r="AA10" i="781"/>
  <c r="AA8" i="781"/>
  <c r="AB11" i="781"/>
  <c r="AB9" i="781"/>
  <c r="AB7" i="781"/>
  <c r="AA7" i="781"/>
  <c r="AA11" i="781"/>
  <c r="AA9" i="781"/>
  <c r="J9" i="755"/>
  <c r="J12" i="755"/>
  <c r="J8" i="755"/>
  <c r="J11" i="755"/>
  <c r="J7" i="755"/>
  <c r="J10" i="755"/>
  <c r="J6" i="755"/>
  <c r="V31" i="755"/>
  <c r="X29" i="755"/>
  <c r="W28" i="755"/>
  <c r="V27" i="755"/>
  <c r="X25" i="755"/>
  <c r="W24" i="755"/>
  <c r="V23" i="755"/>
  <c r="X30" i="755"/>
  <c r="W29" i="755"/>
  <c r="V28" i="755"/>
  <c r="X26" i="755"/>
  <c r="W25" i="755"/>
  <c r="V24" i="755"/>
  <c r="X22" i="755"/>
  <c r="X31" i="755"/>
  <c r="W30" i="755"/>
  <c r="V29" i="755"/>
  <c r="X27" i="755"/>
  <c r="W26" i="755"/>
  <c r="V25" i="755"/>
  <c r="X23" i="755"/>
  <c r="W22" i="755"/>
  <c r="W27" i="755"/>
  <c r="V22" i="755"/>
  <c r="W31" i="755"/>
  <c r="V26" i="755"/>
  <c r="V30" i="755"/>
  <c r="X24" i="755"/>
  <c r="X28" i="755"/>
  <c r="W23" i="755"/>
  <c r="R9" i="758"/>
  <c r="R8" i="758"/>
  <c r="R7" i="758"/>
  <c r="R6" i="758"/>
  <c r="R5" i="758"/>
  <c r="R4" i="758"/>
  <c r="Q9" i="758"/>
  <c r="Q8" i="758"/>
  <c r="Q7" i="758"/>
  <c r="Q6" i="758"/>
  <c r="Q5" i="758"/>
  <c r="Q4" i="758"/>
  <c r="P9" i="758"/>
  <c r="P8" i="758"/>
  <c r="P7" i="758"/>
  <c r="P6" i="758"/>
  <c r="P5" i="758"/>
  <c r="P4" i="758"/>
  <c r="S7" i="758"/>
  <c r="S6" i="758"/>
  <c r="S9" i="758"/>
  <c r="S5" i="758"/>
  <c r="S4" i="758"/>
  <c r="S8" i="758"/>
  <c r="F13" i="756"/>
  <c r="F9" i="756"/>
  <c r="F5" i="756"/>
  <c r="F12" i="756"/>
  <c r="F8" i="756"/>
  <c r="F4" i="756"/>
  <c r="F11" i="756"/>
  <c r="F7" i="756"/>
  <c r="F10" i="756"/>
  <c r="F6" i="756"/>
  <c r="G7" i="776"/>
  <c r="G6" i="776"/>
  <c r="G5" i="776"/>
  <c r="F7" i="776"/>
  <c r="F6" i="776"/>
  <c r="F5" i="776"/>
  <c r="I7" i="776"/>
  <c r="I6" i="776"/>
  <c r="I5" i="776"/>
  <c r="H6" i="776"/>
  <c r="H5" i="776"/>
  <c r="H7" i="776"/>
  <c r="K13" i="776"/>
  <c r="K12" i="776"/>
  <c r="K14" i="776"/>
  <c r="K35" i="776"/>
  <c r="K34" i="776"/>
  <c r="K33" i="776"/>
  <c r="H54" i="776"/>
  <c r="H53" i="776"/>
  <c r="H52" i="776"/>
  <c r="G54" i="776"/>
  <c r="G53" i="776"/>
  <c r="G52" i="776"/>
  <c r="F54" i="776"/>
  <c r="F53" i="776"/>
  <c r="F52" i="776"/>
  <c r="I53" i="776"/>
  <c r="I52" i="776"/>
  <c r="I54" i="776"/>
  <c r="I20" i="758"/>
  <c r="I16" i="758"/>
  <c r="I12" i="758"/>
  <c r="I8" i="758"/>
  <c r="I4" i="758"/>
  <c r="I23" i="758"/>
  <c r="I19" i="758"/>
  <c r="I15" i="758"/>
  <c r="I11" i="758"/>
  <c r="I7" i="758"/>
  <c r="I22" i="758"/>
  <c r="I18" i="758"/>
  <c r="I14" i="758"/>
  <c r="I10" i="758"/>
  <c r="I6" i="758"/>
  <c r="I17" i="758"/>
  <c r="I13" i="758"/>
  <c r="I9" i="758"/>
  <c r="I21" i="758"/>
  <c r="I5" i="758"/>
  <c r="D10" i="770"/>
  <c r="E11" i="770"/>
  <c r="D11" i="770"/>
  <c r="E10" i="770"/>
  <c r="K5" i="776"/>
  <c r="K7" i="776"/>
  <c r="K6" i="776"/>
  <c r="F28" i="776"/>
  <c r="F27" i="776"/>
  <c r="F26" i="776"/>
  <c r="F25" i="776"/>
  <c r="I28" i="776"/>
  <c r="I27" i="776"/>
  <c r="I26" i="776"/>
  <c r="I25" i="776"/>
  <c r="H28" i="776"/>
  <c r="H27" i="776"/>
  <c r="H26" i="776"/>
  <c r="H25" i="776"/>
  <c r="G28" i="776"/>
  <c r="G27" i="776"/>
  <c r="G26" i="776"/>
  <c r="G25" i="776"/>
  <c r="M13" i="756"/>
  <c r="O11" i="756"/>
  <c r="N10" i="756"/>
  <c r="M9" i="756"/>
  <c r="O7" i="756"/>
  <c r="N6" i="756"/>
  <c r="M5" i="756"/>
  <c r="O12" i="756"/>
  <c r="N11" i="756"/>
  <c r="M10" i="756"/>
  <c r="O8" i="756"/>
  <c r="N7" i="756"/>
  <c r="M6" i="756"/>
  <c r="O4" i="756"/>
  <c r="O13" i="756"/>
  <c r="N12" i="756"/>
  <c r="M11" i="756"/>
  <c r="O9" i="756"/>
  <c r="N8" i="756"/>
  <c r="M7" i="756"/>
  <c r="O5" i="756"/>
  <c r="N4" i="756"/>
  <c r="O10" i="756"/>
  <c r="N5" i="756"/>
  <c r="N9" i="756"/>
  <c r="M4" i="756"/>
  <c r="N13" i="756"/>
  <c r="M8" i="756"/>
  <c r="M12" i="756"/>
  <c r="O6" i="756"/>
  <c r="N9" i="758"/>
  <c r="N8" i="758"/>
  <c r="N7" i="758"/>
  <c r="N6" i="758"/>
  <c r="N5" i="758"/>
  <c r="N4" i="758"/>
  <c r="M9" i="758"/>
  <c r="M8" i="758"/>
  <c r="M7" i="758"/>
  <c r="M6" i="758"/>
  <c r="M5" i="758"/>
  <c r="M4" i="758"/>
  <c r="L9" i="758"/>
  <c r="L8" i="758"/>
  <c r="L7" i="758"/>
  <c r="L6" i="758"/>
  <c r="L5" i="758"/>
  <c r="L4" i="758"/>
  <c r="K6" i="758"/>
  <c r="K9" i="758"/>
  <c r="K5" i="758"/>
  <c r="K8" i="758"/>
  <c r="K4" i="758"/>
  <c r="K7" i="758"/>
  <c r="H11" i="770"/>
  <c r="G11" i="770"/>
  <c r="H10" i="770"/>
  <c r="G10" i="770"/>
  <c r="I20" i="776"/>
  <c r="I19" i="776"/>
  <c r="I18" i="776"/>
  <c r="H20" i="776"/>
  <c r="H19" i="776"/>
  <c r="H18" i="776"/>
  <c r="G20" i="776"/>
  <c r="G19" i="776"/>
  <c r="G18" i="776"/>
  <c r="F18" i="776"/>
  <c r="F20" i="776"/>
  <c r="F19" i="776"/>
  <c r="K26" i="776"/>
  <c r="K27" i="776"/>
  <c r="K25" i="776"/>
  <c r="K78" i="776"/>
  <c r="K77" i="776"/>
  <c r="G48" i="776"/>
  <c r="G47" i="776"/>
  <c r="G46" i="776"/>
  <c r="F48" i="776"/>
  <c r="F47" i="776"/>
  <c r="F46" i="776"/>
  <c r="I48" i="776"/>
  <c r="I47" i="776"/>
  <c r="I46" i="776"/>
  <c r="H48" i="776"/>
  <c r="H47" i="776"/>
  <c r="H46" i="776"/>
  <c r="K53" i="776"/>
  <c r="K52" i="776"/>
  <c r="K54" i="776"/>
  <c r="G73" i="776"/>
  <c r="I71" i="776"/>
  <c r="H70" i="776"/>
  <c r="I72" i="776"/>
  <c r="H71" i="776"/>
  <c r="G70" i="776"/>
  <c r="I73" i="776"/>
  <c r="H72" i="776"/>
  <c r="G71" i="776"/>
  <c r="H73" i="776"/>
  <c r="G72" i="776"/>
  <c r="I70" i="776"/>
  <c r="G87" i="776"/>
  <c r="I85" i="776"/>
  <c r="H84" i="776"/>
  <c r="I86" i="776"/>
  <c r="H85" i="776"/>
  <c r="G84" i="776"/>
  <c r="I87" i="776"/>
  <c r="H86" i="776"/>
  <c r="G85" i="776"/>
  <c r="H87" i="776"/>
  <c r="G86" i="776"/>
  <c r="I84" i="776"/>
  <c r="B100" i="783"/>
  <c r="B96" i="783"/>
  <c r="B92" i="783"/>
  <c r="B88" i="783"/>
  <c r="B84" i="783"/>
  <c r="B80" i="783"/>
  <c r="B76" i="783"/>
  <c r="B72" i="783"/>
  <c r="B68" i="783"/>
  <c r="B64" i="783"/>
  <c r="B60" i="783"/>
  <c r="B56" i="783"/>
  <c r="B52" i="783"/>
  <c r="B48" i="783"/>
  <c r="B44" i="783"/>
  <c r="B40" i="783"/>
  <c r="B36" i="783"/>
  <c r="B32" i="783"/>
  <c r="B28" i="783"/>
  <c r="B24" i="783"/>
  <c r="B20" i="783"/>
  <c r="B16" i="783"/>
  <c r="B12" i="783"/>
  <c r="B8" i="783"/>
  <c r="B4" i="783"/>
  <c r="B99" i="783"/>
  <c r="B95" i="783"/>
  <c r="B91" i="783"/>
  <c r="B87" i="783"/>
  <c r="B83" i="783"/>
  <c r="B79" i="783"/>
  <c r="B75" i="783"/>
  <c r="B71" i="783"/>
  <c r="B67" i="783"/>
  <c r="B63" i="783"/>
  <c r="B59" i="783"/>
  <c r="B55" i="783"/>
  <c r="B51" i="783"/>
  <c r="B47" i="783"/>
  <c r="B43" i="783"/>
  <c r="B39" i="783"/>
  <c r="B35" i="783"/>
  <c r="B31" i="783"/>
  <c r="B27" i="783"/>
  <c r="B23" i="783"/>
  <c r="B19" i="783"/>
  <c r="B15" i="783"/>
  <c r="B11" i="783"/>
  <c r="B7" i="783"/>
  <c r="B3" i="783"/>
  <c r="B102" i="783"/>
  <c r="B98" i="783"/>
  <c r="B94" i="783"/>
  <c r="B90" i="783"/>
  <c r="B86" i="783"/>
  <c r="B82" i="783"/>
  <c r="B78" i="783"/>
  <c r="B74" i="783"/>
  <c r="B70" i="783"/>
  <c r="B66" i="783"/>
  <c r="B62" i="783"/>
  <c r="B58" i="783"/>
  <c r="B54" i="783"/>
  <c r="B50" i="783"/>
  <c r="B46" i="783"/>
  <c r="B42" i="783"/>
  <c r="B38" i="783"/>
  <c r="B34" i="783"/>
  <c r="B30" i="783"/>
  <c r="B26" i="783"/>
  <c r="B22" i="783"/>
  <c r="B18" i="783"/>
  <c r="B14" i="783"/>
  <c r="B10" i="783"/>
  <c r="B6" i="783"/>
  <c r="B93" i="783"/>
  <c r="B77" i="783"/>
  <c r="B61" i="783"/>
  <c r="B45" i="783"/>
  <c r="B29" i="783"/>
  <c r="B13" i="783"/>
  <c r="B89" i="783"/>
  <c r="B73" i="783"/>
  <c r="B57" i="783"/>
  <c r="B41" i="783"/>
  <c r="B25" i="783"/>
  <c r="B9" i="783"/>
  <c r="B101" i="783"/>
  <c r="B85" i="783"/>
  <c r="B69" i="783"/>
  <c r="B53" i="783"/>
  <c r="B37" i="783"/>
  <c r="B21" i="783"/>
  <c r="B5" i="783"/>
  <c r="B81" i="783"/>
  <c r="B17" i="783"/>
  <c r="B65" i="783"/>
  <c r="B49" i="783"/>
  <c r="B97" i="783"/>
  <c r="B33" i="783"/>
  <c r="F15" i="783"/>
  <c r="F11" i="783"/>
  <c r="F14" i="783"/>
  <c r="F10" i="783"/>
  <c r="F13" i="783"/>
  <c r="F12" i="783"/>
  <c r="F42" i="776"/>
  <c r="F41" i="776"/>
  <c r="F40" i="776"/>
  <c r="F39" i="776"/>
  <c r="I42" i="776"/>
  <c r="I41" i="776"/>
  <c r="I40" i="776"/>
  <c r="I39" i="776"/>
  <c r="H42" i="776"/>
  <c r="H41" i="776"/>
  <c r="H40" i="776"/>
  <c r="H39" i="776"/>
  <c r="G39" i="776"/>
  <c r="G42" i="776"/>
  <c r="G41" i="776"/>
  <c r="G40" i="776"/>
  <c r="K46" i="776"/>
  <c r="K48" i="776"/>
  <c r="K47" i="776"/>
  <c r="L66" i="776"/>
  <c r="H66" i="776"/>
  <c r="J65" i="776"/>
  <c r="L64" i="776"/>
  <c r="H64" i="776"/>
  <c r="K66" i="776"/>
  <c r="M65" i="776"/>
  <c r="I65" i="776"/>
  <c r="K64" i="776"/>
  <c r="J66" i="776"/>
  <c r="L65" i="776"/>
  <c r="H65" i="776"/>
  <c r="J64" i="776"/>
  <c r="M66" i="776"/>
  <c r="I64" i="776"/>
  <c r="I66" i="776"/>
  <c r="K65" i="776"/>
  <c r="M64" i="776"/>
  <c r="K70" i="776"/>
  <c r="K71" i="776"/>
  <c r="K84" i="776"/>
  <c r="K85" i="776"/>
  <c r="I35" i="776"/>
  <c r="I34" i="776"/>
  <c r="I33" i="776"/>
  <c r="H35" i="776"/>
  <c r="H34" i="776"/>
  <c r="H33" i="776"/>
  <c r="G35" i="776"/>
  <c r="G34" i="776"/>
  <c r="G33" i="776"/>
  <c r="F34" i="776"/>
  <c r="F33" i="776"/>
  <c r="F35" i="776"/>
  <c r="K41" i="776"/>
  <c r="K40" i="776"/>
  <c r="K39" i="776"/>
  <c r="K60" i="776"/>
  <c r="M59" i="776"/>
  <c r="I59" i="776"/>
  <c r="K58" i="776"/>
  <c r="J60" i="776"/>
  <c r="L59" i="776"/>
  <c r="H59" i="776"/>
  <c r="J58" i="776"/>
  <c r="M60" i="776"/>
  <c r="I60" i="776"/>
  <c r="K59" i="776"/>
  <c r="M58" i="776"/>
  <c r="I58" i="776"/>
  <c r="L58" i="776"/>
  <c r="L60" i="776"/>
  <c r="H58" i="776"/>
  <c r="H60" i="776"/>
  <c r="J59" i="776"/>
  <c r="I80" i="776"/>
  <c r="H79" i="776"/>
  <c r="G78" i="776"/>
  <c r="H80" i="776"/>
  <c r="G79" i="776"/>
  <c r="I77" i="776"/>
  <c r="G80" i="776"/>
  <c r="I78" i="776"/>
  <c r="H77" i="776"/>
  <c r="I79" i="776"/>
  <c r="H78" i="776"/>
  <c r="G77" i="776"/>
  <c r="E7" i="781"/>
  <c r="E8" i="781" s="1"/>
  <c r="B4" i="781"/>
  <c r="C7" i="781" s="1"/>
  <c r="C8" i="781" l="1"/>
  <c r="D7" i="781"/>
  <c r="E9" i="781"/>
  <c r="F8" i="781"/>
  <c r="F7" i="781"/>
  <c r="K12" i="781" l="1"/>
  <c r="K8" i="781"/>
  <c r="K7" i="781"/>
  <c r="L7" i="781" s="1"/>
  <c r="L8" i="781" s="1"/>
  <c r="L9" i="781" s="1"/>
  <c r="L10" i="781" s="1"/>
  <c r="L11" i="781" s="1"/>
  <c r="L12" i="781" s="1"/>
  <c r="K9" i="781"/>
  <c r="K11" i="781"/>
  <c r="K10" i="781"/>
  <c r="C9" i="781"/>
  <c r="D8" i="781"/>
  <c r="M12" i="781"/>
  <c r="M11" i="781" s="1"/>
  <c r="M10" i="781" s="1"/>
  <c r="E10" i="781"/>
  <c r="F9" i="781"/>
  <c r="AB4" i="781"/>
  <c r="AC7" i="781" s="1"/>
  <c r="I4" i="781"/>
  <c r="V3" i="781" l="1"/>
  <c r="F10" i="781"/>
  <c r="E11" i="781"/>
  <c r="C10" i="781"/>
  <c r="D9" i="781"/>
  <c r="AC8" i="781"/>
  <c r="AD7" i="781"/>
  <c r="M9" i="781"/>
  <c r="M8" i="781" s="1"/>
  <c r="M7" i="781" s="1"/>
  <c r="P4" i="781"/>
  <c r="R12" i="781" s="1"/>
  <c r="S12" i="781" s="1"/>
  <c r="V4" i="781"/>
  <c r="R11" i="781" l="1"/>
  <c r="S11" i="781" s="1"/>
  <c r="X12" i="781"/>
  <c r="Y12" i="781" s="1"/>
  <c r="X8" i="781"/>
  <c r="X11" i="781"/>
  <c r="X10" i="781"/>
  <c r="X7" i="781"/>
  <c r="X9" i="781"/>
  <c r="R7" i="781"/>
  <c r="AC9" i="781"/>
  <c r="AD8" i="781"/>
  <c r="C11" i="781"/>
  <c r="D10" i="781"/>
  <c r="R10" i="781"/>
  <c r="R8" i="781"/>
  <c r="E12" i="781"/>
  <c r="F12" i="781" s="1"/>
  <c r="F11" i="781"/>
  <c r="R9" i="781"/>
  <c r="S10" i="781" l="1"/>
  <c r="S9" i="781" s="1"/>
  <c r="S8" i="781" s="1"/>
  <c r="S7" i="781" s="1"/>
  <c r="C12" i="781"/>
  <c r="D12" i="781" s="1"/>
  <c r="D11" i="781"/>
  <c r="Y11" i="781"/>
  <c r="Y10" i="781" s="1"/>
  <c r="Y9" i="781" s="1"/>
  <c r="Y8" i="781" s="1"/>
  <c r="Y7" i="781" s="1"/>
  <c r="AC10" i="781"/>
  <c r="AD9" i="781"/>
  <c r="AC11" i="781" l="1"/>
  <c r="AD10" i="781"/>
  <c r="AC12" i="781" l="1"/>
  <c r="AD12" i="781" s="1"/>
  <c r="AE12" i="781" s="1"/>
  <c r="AD11" i="781"/>
  <c r="AE11" i="781" l="1"/>
  <c r="AE10" i="781" s="1"/>
  <c r="AE9" i="781" s="1"/>
  <c r="AE8" i="781" s="1"/>
  <c r="AE7" i="781" s="1"/>
  <c r="A5" i="779"/>
  <c r="F4" i="779"/>
  <c r="F5" i="779" s="1"/>
  <c r="F32" i="778" a="1"/>
  <c r="H35" i="778" s="1"/>
  <c r="G28" i="778"/>
  <c r="G27" i="778"/>
  <c r="G26" i="778"/>
  <c r="G25" i="778"/>
  <c r="F25" i="778" a="1"/>
  <c r="F28" i="778" s="1"/>
  <c r="F18" i="778" a="1"/>
  <c r="H21" i="778" s="1"/>
  <c r="G14" i="778"/>
  <c r="G13" i="778"/>
  <c r="G12" i="778"/>
  <c r="G11" i="778"/>
  <c r="F11" i="778" a="1"/>
  <c r="F14" i="778" s="1"/>
  <c r="B23" i="777"/>
  <c r="B24" i="777" s="1"/>
  <c r="B25" i="777" s="1"/>
  <c r="B26" i="777" s="1"/>
  <c r="B27" i="777" s="1"/>
  <c r="B28" i="777" s="1"/>
  <c r="A23" i="777"/>
  <c r="A24" i="777" s="1"/>
  <c r="A25" i="777" s="1"/>
  <c r="A26" i="777" s="1"/>
  <c r="A27" i="777" s="1"/>
  <c r="A28" i="777" s="1"/>
  <c r="F17" i="777" a="1"/>
  <c r="F17" i="777" s="1"/>
  <c r="F14" i="777"/>
  <c r="F12" i="777"/>
  <c r="F11" i="777"/>
  <c r="B11" i="777"/>
  <c r="B12" i="777" s="1"/>
  <c r="B13" i="777" s="1"/>
  <c r="B14" i="777" s="1"/>
  <c r="B15" i="777" s="1"/>
  <c r="F21" i="777" s="1"/>
  <c r="F22" i="777" s="1"/>
  <c r="B10" i="777"/>
  <c r="A10" i="777"/>
  <c r="A11" i="777" s="1"/>
  <c r="A12" i="777" s="1"/>
  <c r="A13" i="777" s="1"/>
  <c r="A14" i="777" s="1"/>
  <c r="A15" i="777" s="1"/>
  <c r="O66" i="776"/>
  <c r="Q64" i="776"/>
  <c r="O64" i="776" a="1"/>
  <c r="P66" i="776" s="1"/>
  <c r="Q60" i="776"/>
  <c r="O58" i="776"/>
  <c r="O58" i="776" a="1"/>
  <c r="P59" i="776" s="1"/>
  <c r="O40" i="775"/>
  <c r="X40" i="775" s="1"/>
  <c r="N40" i="775"/>
  <c r="W40" i="775" s="1"/>
  <c r="M40" i="775"/>
  <c r="L40" i="775"/>
  <c r="K40" i="775"/>
  <c r="V40" i="775" s="1"/>
  <c r="J40" i="775"/>
  <c r="S40" i="775" s="1"/>
  <c r="V39" i="775"/>
  <c r="U39" i="775"/>
  <c r="O39" i="775"/>
  <c r="O41" i="775" s="1"/>
  <c r="X41" i="775" s="1"/>
  <c r="N39" i="775"/>
  <c r="N41" i="775" s="1"/>
  <c r="W41" i="775" s="1"/>
  <c r="M39" i="775"/>
  <c r="M41" i="775" s="1"/>
  <c r="V41" i="775" s="1"/>
  <c r="L39" i="775"/>
  <c r="L41" i="775" s="1"/>
  <c r="U41" i="775" s="1"/>
  <c r="K39" i="775"/>
  <c r="K41" i="775" s="1"/>
  <c r="T41" i="775" s="1"/>
  <c r="J39" i="775"/>
  <c r="J41" i="775" s="1"/>
  <c r="S41" i="775" s="1"/>
  <c r="K29" i="775"/>
  <c r="R30" i="775" s="1"/>
  <c r="J29" i="775"/>
  <c r="Q30" i="775" s="1"/>
  <c r="I29" i="775"/>
  <c r="P30" i="775" s="1"/>
  <c r="H29" i="775"/>
  <c r="O30" i="775" s="1"/>
  <c r="K28" i="775"/>
  <c r="K30" i="775" s="1"/>
  <c r="J28" i="775"/>
  <c r="J30" i="775" s="1"/>
  <c r="I28" i="775"/>
  <c r="I30" i="775" s="1"/>
  <c r="H28" i="775"/>
  <c r="H30" i="775" s="1"/>
  <c r="K18" i="775"/>
  <c r="R19" i="775" s="1"/>
  <c r="D23" i="775" s="1"/>
  <c r="K23" i="775" s="1"/>
  <c r="R23" i="775" s="1"/>
  <c r="J18" i="775"/>
  <c r="Q19" i="775" s="1"/>
  <c r="C23" i="775" s="1"/>
  <c r="J23" i="775" s="1"/>
  <c r="Q23" i="775" s="1"/>
  <c r="I18" i="775"/>
  <c r="P19" i="775" s="1"/>
  <c r="B23" i="775" s="1"/>
  <c r="I23" i="775" s="1"/>
  <c r="P23" i="775" s="1"/>
  <c r="H18" i="775"/>
  <c r="O19" i="775" s="1"/>
  <c r="A23" i="775" s="1"/>
  <c r="H23" i="775" s="1"/>
  <c r="O23" i="775" s="1"/>
  <c r="K17" i="775"/>
  <c r="K19" i="775" s="1"/>
  <c r="R18" i="775" s="1"/>
  <c r="J17" i="775"/>
  <c r="J19" i="775" s="1"/>
  <c r="Q18" i="775" s="1"/>
  <c r="C22" i="775" s="1"/>
  <c r="J22" i="775" s="1"/>
  <c r="Q22" i="775" s="1"/>
  <c r="I17" i="775"/>
  <c r="I19" i="775" s="1"/>
  <c r="P18" i="775" s="1"/>
  <c r="B22" i="775" s="1"/>
  <c r="I22" i="775" s="1"/>
  <c r="H17" i="775"/>
  <c r="H19" i="775" s="1"/>
  <c r="O18" i="775" s="1"/>
  <c r="K7" i="775"/>
  <c r="R7" i="775" s="1"/>
  <c r="J7" i="775"/>
  <c r="Q7" i="775" s="1"/>
  <c r="I7" i="775"/>
  <c r="P7" i="775" s="1"/>
  <c r="H7" i="775"/>
  <c r="O7" i="775" s="1"/>
  <c r="K6" i="775"/>
  <c r="K8" i="775" s="1"/>
  <c r="R8" i="775" s="1"/>
  <c r="J6" i="775"/>
  <c r="J8" i="775" s="1"/>
  <c r="Q8" i="775" s="1"/>
  <c r="I6" i="775"/>
  <c r="I8" i="775" s="1"/>
  <c r="P8" i="775" s="1"/>
  <c r="H6" i="775"/>
  <c r="H8" i="775" s="1"/>
  <c r="O8" i="775" s="1"/>
  <c r="C30" i="774"/>
  <c r="C25" i="774"/>
  <c r="C20" i="774"/>
  <c r="C15" i="774"/>
  <c r="B10" i="774"/>
  <c r="B9" i="774"/>
  <c r="B8" i="774"/>
  <c r="H4" i="774" a="1"/>
  <c r="H6" i="774" s="1"/>
  <c r="F18" i="773"/>
  <c r="M6" i="773"/>
  <c r="L6" i="773"/>
  <c r="K6" i="773"/>
  <c r="J6" i="773"/>
  <c r="V6" i="773" s="1"/>
  <c r="D11" i="773" s="1"/>
  <c r="M11" i="773" s="1"/>
  <c r="M5" i="773"/>
  <c r="L5" i="773"/>
  <c r="K5" i="773"/>
  <c r="J5" i="773"/>
  <c r="V5" i="773" s="1"/>
  <c r="D9" i="773" s="1"/>
  <c r="M4" i="773"/>
  <c r="L4" i="773"/>
  <c r="K4" i="773"/>
  <c r="J4" i="773"/>
  <c r="V4" i="773" s="1"/>
  <c r="D10" i="773" s="1"/>
  <c r="M10" i="773" s="1"/>
  <c r="O3" i="773"/>
  <c r="X3" i="773" s="1"/>
  <c r="F8" i="773" s="1"/>
  <c r="M3" i="773"/>
  <c r="V3" i="773" s="1"/>
  <c r="D8" i="773" s="1"/>
  <c r="M8" i="773" s="1"/>
  <c r="V8" i="773" s="1"/>
  <c r="D13" i="773" s="1"/>
  <c r="M13" i="773" s="1"/>
  <c r="V13" i="773" s="1"/>
  <c r="L3" i="773"/>
  <c r="U3" i="773" s="1"/>
  <c r="C8" i="773" s="1"/>
  <c r="L8" i="773" s="1"/>
  <c r="U8" i="773" s="1"/>
  <c r="C13" i="773" s="1"/>
  <c r="L13" i="773" s="1"/>
  <c r="U13" i="773" s="1"/>
  <c r="K3" i="773"/>
  <c r="T3" i="773" s="1"/>
  <c r="B8" i="773" s="1"/>
  <c r="K8" i="773" s="1"/>
  <c r="T8" i="773" s="1"/>
  <c r="B13" i="773" s="1"/>
  <c r="K13" i="773" s="1"/>
  <c r="T13" i="773" s="1"/>
  <c r="J3" i="773"/>
  <c r="S3" i="773" s="1"/>
  <c r="A8" i="773" s="1"/>
  <c r="J8" i="773" s="1"/>
  <c r="S8" i="773" s="1"/>
  <c r="A13" i="773" s="1"/>
  <c r="J13" i="773" s="1"/>
  <c r="S13" i="773" s="1"/>
  <c r="F3" i="772"/>
  <c r="F6" i="771"/>
  <c r="F7" i="771" s="1"/>
  <c r="D5" i="770" a="1"/>
  <c r="D6" i="770" s="1"/>
  <c r="E5" i="769"/>
  <c r="D5" i="769"/>
  <c r="D5" i="769" a="1"/>
  <c r="E6" i="769" s="1"/>
  <c r="B11" i="768"/>
  <c r="B12" i="768" s="1"/>
  <c r="B11" i="768" a="1"/>
  <c r="B9" i="768"/>
  <c r="D6" i="768" s="1"/>
  <c r="D4" i="768"/>
  <c r="F25" i="766"/>
  <c r="F24" i="766"/>
  <c r="F23" i="766"/>
  <c r="F22" i="766"/>
  <c r="F21" i="766"/>
  <c r="F20" i="766"/>
  <c r="F19" i="766"/>
  <c r="F18" i="766"/>
  <c r="F17" i="766"/>
  <c r="F16" i="766"/>
  <c r="F15" i="766"/>
  <c r="F14" i="766"/>
  <c r="F13" i="766"/>
  <c r="F12" i="766"/>
  <c r="F11" i="766"/>
  <c r="F10" i="766"/>
  <c r="F9" i="766"/>
  <c r="F8" i="766"/>
  <c r="F7" i="766"/>
  <c r="F6" i="766"/>
  <c r="F5" i="766"/>
  <c r="F4" i="766"/>
  <c r="F3" i="766"/>
  <c r="A3" i="766"/>
  <c r="A4" i="766" s="1"/>
  <c r="A5" i="766" s="1"/>
  <c r="A6" i="766" s="1"/>
  <c r="A7" i="766" s="1"/>
  <c r="A8" i="766" s="1"/>
  <c r="A9" i="766" s="1"/>
  <c r="A10" i="766" s="1"/>
  <c r="A11" i="766" s="1"/>
  <c r="A12" i="766" s="1"/>
  <c r="A13" i="766" s="1"/>
  <c r="A14" i="766" s="1"/>
  <c r="A15" i="766" s="1"/>
  <c r="A16" i="766" s="1"/>
  <c r="A17" i="766" s="1"/>
  <c r="A18" i="766" s="1"/>
  <c r="A19" i="766" s="1"/>
  <c r="A20" i="766" s="1"/>
  <c r="A21" i="766" s="1"/>
  <c r="F2" i="766"/>
  <c r="E20" i="765"/>
  <c r="D20" i="765"/>
  <c r="C20" i="765"/>
  <c r="B20" i="765"/>
  <c r="E19" i="765"/>
  <c r="D19" i="765"/>
  <c r="C19" i="765"/>
  <c r="B19" i="765"/>
  <c r="A5" i="765"/>
  <c r="A6" i="765" s="1"/>
  <c r="A7" i="765" s="1"/>
  <c r="A8" i="765" s="1"/>
  <c r="A9" i="765" s="1"/>
  <c r="A10" i="765" s="1"/>
  <c r="A11" i="765" s="1"/>
  <c r="A12" i="765" s="1"/>
  <c r="A13" i="765" s="1"/>
  <c r="A14" i="765" s="1"/>
  <c r="A15" i="765" s="1"/>
  <c r="A16" i="765" s="1"/>
  <c r="A17" i="765" s="1"/>
  <c r="A18" i="765" s="1"/>
  <c r="B23" i="758"/>
  <c r="B22" i="758"/>
  <c r="B21" i="758"/>
  <c r="B20" i="758"/>
  <c r="B19" i="758"/>
  <c r="B18" i="758"/>
  <c r="B17" i="758"/>
  <c r="B16" i="758"/>
  <c r="B15" i="758"/>
  <c r="B14" i="758"/>
  <c r="B13" i="758"/>
  <c r="B12" i="758"/>
  <c r="B11" i="758"/>
  <c r="B10" i="758"/>
  <c r="F9" i="758"/>
  <c r="B9" i="758"/>
  <c r="F8" i="758"/>
  <c r="B8" i="758"/>
  <c r="F7" i="758"/>
  <c r="B7" i="758"/>
  <c r="F6" i="758"/>
  <c r="B6" i="758"/>
  <c r="F5" i="758"/>
  <c r="B5" i="758"/>
  <c r="F4" i="758"/>
  <c r="B4" i="758"/>
  <c r="M42" i="757"/>
  <c r="M43" i="757" s="1"/>
  <c r="L42" i="757"/>
  <c r="L43" i="757" s="1"/>
  <c r="K42" i="757"/>
  <c r="J42" i="757"/>
  <c r="J36" i="757"/>
  <c r="M35" i="757"/>
  <c r="K35" i="757"/>
  <c r="I35" i="757"/>
  <c r="M33" i="757"/>
  <c r="K33" i="757"/>
  <c r="I33" i="757"/>
  <c r="F31" i="757"/>
  <c r="E31" i="757"/>
  <c r="C31" i="757"/>
  <c r="C32" i="757" s="1"/>
  <c r="D30" i="757"/>
  <c r="M29" i="757"/>
  <c r="K29" i="757"/>
  <c r="I29" i="757"/>
  <c r="E29" i="757"/>
  <c r="C29" i="757"/>
  <c r="F28" i="757"/>
  <c r="F29" i="757" s="1"/>
  <c r="E28" i="757"/>
  <c r="E30" i="757" s="1"/>
  <c r="D28" i="757"/>
  <c r="C28" i="757"/>
  <c r="C30" i="757" s="1"/>
  <c r="M27" i="757"/>
  <c r="K27" i="757"/>
  <c r="I27" i="757"/>
  <c r="M24" i="757"/>
  <c r="M36" i="757" s="1"/>
  <c r="L24" i="757"/>
  <c r="L36" i="757" s="1"/>
  <c r="K24" i="757"/>
  <c r="K36" i="757" s="1"/>
  <c r="J24" i="757"/>
  <c r="J30" i="757" s="1"/>
  <c r="I24" i="757"/>
  <c r="I36" i="757" s="1"/>
  <c r="F24" i="757"/>
  <c r="E24" i="757"/>
  <c r="D24" i="757"/>
  <c r="C24" i="757"/>
  <c r="B24" i="757"/>
  <c r="M23" i="757"/>
  <c r="L23" i="757"/>
  <c r="K23" i="757"/>
  <c r="J23" i="757"/>
  <c r="I23" i="757"/>
  <c r="F23" i="757"/>
  <c r="E23" i="757"/>
  <c r="D23" i="757"/>
  <c r="C23" i="757"/>
  <c r="B23" i="757"/>
  <c r="M22" i="757"/>
  <c r="M34" i="757" s="1"/>
  <c r="L22" i="757"/>
  <c r="L34" i="757" s="1"/>
  <c r="K22" i="757"/>
  <c r="K34" i="757" s="1"/>
  <c r="J22" i="757"/>
  <c r="J28" i="757" s="1"/>
  <c r="I22" i="757"/>
  <c r="I34" i="757" s="1"/>
  <c r="F22" i="757"/>
  <c r="E22" i="757"/>
  <c r="D22" i="757"/>
  <c r="C22" i="757"/>
  <c r="B22" i="757"/>
  <c r="M21" i="757"/>
  <c r="L21" i="757"/>
  <c r="K21" i="757"/>
  <c r="J21" i="757"/>
  <c r="I21" i="757"/>
  <c r="F21" i="757"/>
  <c r="E21" i="757"/>
  <c r="D21" i="757"/>
  <c r="C21" i="757"/>
  <c r="B21" i="757"/>
  <c r="C20" i="757"/>
  <c r="D20" i="757" s="1"/>
  <c r="E20" i="757" s="1"/>
  <c r="F20" i="757" s="1"/>
  <c r="M14" i="757"/>
  <c r="L14" i="757"/>
  <c r="K14" i="757"/>
  <c r="J14" i="757"/>
  <c r="M13" i="757"/>
  <c r="M15" i="757" s="1"/>
  <c r="L13" i="757"/>
  <c r="L15" i="757" s="1"/>
  <c r="K13" i="757"/>
  <c r="J13" i="757"/>
  <c r="J15" i="757" s="1"/>
  <c r="F13" i="757"/>
  <c r="E13" i="757"/>
  <c r="D13" i="757"/>
  <c r="C13" i="757"/>
  <c r="M9" i="757"/>
  <c r="L9" i="757"/>
  <c r="K9" i="757"/>
  <c r="J9" i="757"/>
  <c r="I9" i="757"/>
  <c r="M8" i="757"/>
  <c r="L8" i="757"/>
  <c r="K8" i="757"/>
  <c r="J8" i="757"/>
  <c r="I8" i="757"/>
  <c r="M7" i="757"/>
  <c r="L7" i="757"/>
  <c r="K7" i="757"/>
  <c r="J7" i="757"/>
  <c r="I7" i="757"/>
  <c r="M6" i="757"/>
  <c r="L6" i="757"/>
  <c r="K6" i="757"/>
  <c r="J6" i="757"/>
  <c r="I6" i="757"/>
  <c r="J50" i="755"/>
  <c r="J49" i="755" s="1"/>
  <c r="L32" i="755"/>
  <c r="J32" i="755"/>
  <c r="J31" i="755"/>
  <c r="L31" i="755" s="1"/>
  <c r="J30" i="755"/>
  <c r="D12" i="755"/>
  <c r="D11" i="755"/>
  <c r="D10" i="755"/>
  <c r="D9" i="755"/>
  <c r="D8" i="755"/>
  <c r="D7" i="755"/>
  <c r="D6" i="755"/>
  <c r="E6" i="755" s="1"/>
  <c r="E7" i="755" s="1"/>
  <c r="E8" i="755" s="1"/>
  <c r="E9" i="755" s="1"/>
  <c r="E10" i="755" s="1"/>
  <c r="E11" i="755" s="1"/>
  <c r="E12" i="755" s="1"/>
  <c r="C38" i="754"/>
  <c r="B38" i="754"/>
  <c r="A38" i="754"/>
  <c r="A37" i="754"/>
  <c r="C28" i="754"/>
  <c r="C29" i="754" s="1"/>
  <c r="C30" i="754" s="1"/>
  <c r="C31" i="754" s="1"/>
  <c r="C32" i="754" s="1"/>
  <c r="C33" i="754" s="1"/>
  <c r="C27" i="754"/>
  <c r="V17" i="754"/>
  <c r="V19" i="754" s="1"/>
  <c r="N17" i="754"/>
  <c r="N19" i="754" s="1"/>
  <c r="V16" i="754"/>
  <c r="N16" i="754"/>
  <c r="N5" i="754" s="1"/>
  <c r="N20" i="754" s="1"/>
  <c r="V15" i="754"/>
  <c r="V13" i="754" s="1"/>
  <c r="N15" i="754"/>
  <c r="V14" i="754"/>
  <c r="N14" i="754"/>
  <c r="N13" i="754"/>
  <c r="V8" i="754"/>
  <c r="N8" i="754"/>
  <c r="G7" i="754"/>
  <c r="E8" i="754" s="1"/>
  <c r="F7" i="754"/>
  <c r="G6" i="754"/>
  <c r="E7" i="754" s="1"/>
  <c r="E6" i="754"/>
  <c r="C6" i="754"/>
  <c r="C7" i="754" s="1"/>
  <c r="C8" i="754" s="1"/>
  <c r="C9" i="754" s="1"/>
  <c r="C10" i="754" s="1"/>
  <c r="C11" i="754" s="1"/>
  <c r="C12" i="754" s="1"/>
  <c r="V5" i="754"/>
  <c r="V20" i="754" s="1"/>
  <c r="E5" i="754"/>
  <c r="D16" i="753" a="1"/>
  <c r="F16" i="753" s="1"/>
  <c r="G11" i="753" a="1"/>
  <c r="G11" i="753" s="1"/>
  <c r="G9" i="753"/>
  <c r="L8" i="753"/>
  <c r="G8" i="753"/>
  <c r="L7" i="753"/>
  <c r="G7" i="753"/>
  <c r="G5" i="753"/>
  <c r="G4" i="753"/>
  <c r="L3" i="753" a="1"/>
  <c r="L3" i="753" s="1"/>
  <c r="L4" i="753" s="1"/>
  <c r="G3" i="753"/>
  <c r="G2" i="753"/>
  <c r="G1" i="753"/>
  <c r="G20" i="752"/>
  <c r="F17" i="752"/>
  <c r="F14" i="752"/>
  <c r="F13" i="752"/>
  <c r="G7" i="752"/>
  <c r="G6" i="752"/>
  <c r="F3" i="752"/>
  <c r="F2" i="752"/>
  <c r="A56" i="751"/>
  <c r="B56" i="751" s="1"/>
  <c r="A55" i="751"/>
  <c r="B55" i="751" s="1"/>
  <c r="B54" i="751"/>
  <c r="A5" i="751"/>
  <c r="A6" i="751" s="1"/>
  <c r="A4" i="751"/>
  <c r="B4" i="751" s="1"/>
  <c r="O8" i="779" l="1"/>
  <c r="M9" i="773"/>
  <c r="V9" i="773" s="1"/>
  <c r="D14" i="773" s="1"/>
  <c r="M14" i="773" s="1"/>
  <c r="V14" i="773" s="1"/>
  <c r="D12" i="775"/>
  <c r="D11" i="775"/>
  <c r="K11" i="775" s="1"/>
  <c r="F8" i="771"/>
  <c r="G5" i="771" s="1" a="1"/>
  <c r="A12" i="775"/>
  <c r="A11" i="775"/>
  <c r="H11" i="775" s="1"/>
  <c r="B12" i="775"/>
  <c r="I12" i="775" s="1"/>
  <c r="P12" i="775" s="1"/>
  <c r="B11" i="775"/>
  <c r="I11" i="775" s="1"/>
  <c r="C12" i="775"/>
  <c r="J12" i="775" s="1"/>
  <c r="Q12" i="775" s="1"/>
  <c r="C11" i="775"/>
  <c r="J11" i="775" s="1"/>
  <c r="Q11" i="775" s="1"/>
  <c r="D7" i="768"/>
  <c r="E6" i="770"/>
  <c r="S4" i="773"/>
  <c r="A10" i="773" s="1"/>
  <c r="J10" i="773" s="1"/>
  <c r="S5" i="773"/>
  <c r="A9" i="773" s="1"/>
  <c r="J9" i="773" s="1"/>
  <c r="S9" i="773" s="1"/>
  <c r="A14" i="773" s="1"/>
  <c r="J14" i="773" s="1"/>
  <c r="S14" i="773" s="1"/>
  <c r="S6" i="773"/>
  <c r="A11" i="773" s="1"/>
  <c r="J11" i="773" s="1"/>
  <c r="H4" i="774"/>
  <c r="Q6" i="775"/>
  <c r="C10" i="775" s="1"/>
  <c r="J10" i="775" s="1"/>
  <c r="Q10" i="775" s="1"/>
  <c r="P22" i="775"/>
  <c r="P17" i="775"/>
  <c r="B21" i="775" s="1"/>
  <c r="I21" i="775" s="1"/>
  <c r="D5" i="770"/>
  <c r="G5" i="770" s="1" a="1"/>
  <c r="T4" i="773"/>
  <c r="B10" i="773" s="1"/>
  <c r="K10" i="773" s="1"/>
  <c r="T5" i="773"/>
  <c r="B9" i="773" s="1"/>
  <c r="K9" i="773" s="1"/>
  <c r="T9" i="773" s="1"/>
  <c r="B14" i="773" s="1"/>
  <c r="K14" i="773" s="1"/>
  <c r="T14" i="773" s="1"/>
  <c r="T6" i="773"/>
  <c r="B11" i="773" s="1"/>
  <c r="K11" i="773" s="1"/>
  <c r="H5" i="774"/>
  <c r="R6" i="775"/>
  <c r="A45" i="775"/>
  <c r="A44" i="775"/>
  <c r="J44" i="775" s="1"/>
  <c r="E45" i="775"/>
  <c r="E44" i="775"/>
  <c r="N44" i="775" s="1"/>
  <c r="E32" i="757"/>
  <c r="D5" i="768"/>
  <c r="D9" i="768" s="1"/>
  <c r="D6" i="769"/>
  <c r="E5" i="770"/>
  <c r="U4" i="773"/>
  <c r="C10" i="773" s="1"/>
  <c r="L10" i="773" s="1"/>
  <c r="U5" i="773"/>
  <c r="C9" i="773" s="1"/>
  <c r="L9" i="773" s="1"/>
  <c r="U9" i="773" s="1"/>
  <c r="C14" i="773" s="1"/>
  <c r="L14" i="773" s="1"/>
  <c r="U14" i="773" s="1"/>
  <c r="U6" i="773"/>
  <c r="C11" i="773" s="1"/>
  <c r="L11" i="773" s="1"/>
  <c r="O6" i="775"/>
  <c r="D22" i="775"/>
  <c r="K22" i="775" s="1"/>
  <c r="R22" i="775" s="1"/>
  <c r="D44" i="775"/>
  <c r="M44" i="775" s="1"/>
  <c r="D45" i="775"/>
  <c r="F45" i="775"/>
  <c r="F44" i="775"/>
  <c r="O44" i="775" s="1"/>
  <c r="P6" i="775"/>
  <c r="B10" i="775" s="1"/>
  <c r="I10" i="775" s="1"/>
  <c r="A22" i="775"/>
  <c r="H22" i="775" s="1"/>
  <c r="O22" i="775" s="1"/>
  <c r="O17" i="775"/>
  <c r="A21" i="775" s="1"/>
  <c r="H21" i="775" s="1"/>
  <c r="O21" i="775" s="1"/>
  <c r="Q17" i="775"/>
  <c r="C21" i="775" s="1"/>
  <c r="J21" i="775" s="1"/>
  <c r="Q21" i="775" s="1"/>
  <c r="Q28" i="775"/>
  <c r="Q29" i="775"/>
  <c r="C33" i="775" s="1"/>
  <c r="S39" i="775"/>
  <c r="W39" i="775"/>
  <c r="O59" i="776"/>
  <c r="R17" i="775"/>
  <c r="D21" i="775" s="1"/>
  <c r="K21" i="775" s="1"/>
  <c r="R21" i="775" s="1"/>
  <c r="R28" i="775"/>
  <c r="D32" i="775" s="1"/>
  <c r="R29" i="775"/>
  <c r="D33" i="775" s="1"/>
  <c r="T39" i="775"/>
  <c r="B43" i="775" s="1"/>
  <c r="K43" i="775" s="1"/>
  <c r="X39" i="775"/>
  <c r="F43" i="775" s="1"/>
  <c r="O43" i="775" s="1"/>
  <c r="T40" i="775"/>
  <c r="O28" i="775"/>
  <c r="O29" i="775"/>
  <c r="A33" i="775" s="1"/>
  <c r="U40" i="775"/>
  <c r="O60" i="776"/>
  <c r="Q58" i="776"/>
  <c r="Q59" i="776"/>
  <c r="P58" i="776"/>
  <c r="P60" i="776"/>
  <c r="P28" i="775"/>
  <c r="P29" i="775"/>
  <c r="B33" i="775" s="1"/>
  <c r="O64" i="776"/>
  <c r="P65" i="776"/>
  <c r="Q66" i="776"/>
  <c r="G17" i="777"/>
  <c r="I9" i="777" s="1" a="1"/>
  <c r="I18" i="778"/>
  <c r="I19" i="778"/>
  <c r="I20" i="778"/>
  <c r="I21" i="778"/>
  <c r="I32" i="778"/>
  <c r="I33" i="778"/>
  <c r="I34" i="778"/>
  <c r="I35" i="778"/>
  <c r="A6" i="779"/>
  <c r="P64" i="776"/>
  <c r="Q65" i="776"/>
  <c r="F18" i="777"/>
  <c r="H11" i="778"/>
  <c r="H12" i="778"/>
  <c r="H13" i="778"/>
  <c r="H14" i="778"/>
  <c r="F18" i="778"/>
  <c r="F19" i="778"/>
  <c r="F20" i="778"/>
  <c r="F21" i="778"/>
  <c r="H25" i="778"/>
  <c r="H26" i="778"/>
  <c r="H27" i="778"/>
  <c r="H28" i="778"/>
  <c r="F32" i="778"/>
  <c r="F33" i="778"/>
  <c r="F34" i="778"/>
  <c r="F35" i="778"/>
  <c r="G18" i="777"/>
  <c r="I11" i="778"/>
  <c r="I12" i="778"/>
  <c r="I13" i="778"/>
  <c r="I14" i="778"/>
  <c r="G18" i="778"/>
  <c r="G19" i="778"/>
  <c r="G20" i="778"/>
  <c r="G21" i="778"/>
  <c r="I25" i="778"/>
  <c r="I26" i="778"/>
  <c r="I27" i="778"/>
  <c r="I28" i="778"/>
  <c r="G32" i="778"/>
  <c r="G33" i="778"/>
  <c r="G34" i="778"/>
  <c r="G35" i="778"/>
  <c r="O65" i="776"/>
  <c r="F11" i="778"/>
  <c r="D11" i="778" s="1"/>
  <c r="F12" i="778"/>
  <c r="F13" i="778"/>
  <c r="H18" i="778"/>
  <c r="H19" i="778"/>
  <c r="H20" i="778"/>
  <c r="F25" i="778"/>
  <c r="F26" i="778"/>
  <c r="F27" i="778"/>
  <c r="H32" i="778"/>
  <c r="H33" i="778"/>
  <c r="H34" i="778"/>
  <c r="K11" i="755"/>
  <c r="K7" i="755"/>
  <c r="K9" i="755"/>
  <c r="K12" i="755"/>
  <c r="K8" i="755"/>
  <c r="K10" i="755"/>
  <c r="K6" i="755"/>
  <c r="B6" i="751"/>
  <c r="A7" i="751"/>
  <c r="B5" i="751"/>
  <c r="A57" i="751"/>
  <c r="N10" i="754"/>
  <c r="N9" i="754" s="1"/>
  <c r="N6" i="754" s="1"/>
  <c r="L49" i="755"/>
  <c r="J48" i="755"/>
  <c r="G12" i="753"/>
  <c r="D16" i="753"/>
  <c r="V10" i="754"/>
  <c r="V9" i="754" s="1"/>
  <c r="V6" i="754" s="1"/>
  <c r="G13" i="753"/>
  <c r="E16" i="753"/>
  <c r="F8" i="754"/>
  <c r="G8" i="754" s="1"/>
  <c r="V12" i="754"/>
  <c r="N18" i="754" a="1"/>
  <c r="N18" i="754" s="1"/>
  <c r="G14" i="753"/>
  <c r="G16" i="753"/>
  <c r="V11" i="754"/>
  <c r="V18" i="754" a="1"/>
  <c r="V18" i="754" s="1"/>
  <c r="B39" i="754"/>
  <c r="J29" i="755"/>
  <c r="L30" i="755"/>
  <c r="K31" i="755" s="1"/>
  <c r="K32" i="755"/>
  <c r="L50" i="755"/>
  <c r="K50" i="755" s="1"/>
  <c r="L33" i="757"/>
  <c r="L27" i="757"/>
  <c r="L35" i="757"/>
  <c r="L29" i="757"/>
  <c r="D31" i="757"/>
  <c r="D32" i="757" s="1"/>
  <c r="D29" i="757"/>
  <c r="L28" i="757"/>
  <c r="J34" i="757"/>
  <c r="B21" i="765"/>
  <c r="L30" i="757"/>
  <c r="C4" i="758"/>
  <c r="C8" i="758"/>
  <c r="C6" i="758"/>
  <c r="C21" i="765"/>
  <c r="J33" i="757"/>
  <c r="J27" i="757"/>
  <c r="J35" i="757"/>
  <c r="J29" i="757"/>
  <c r="J43" i="757" s="1"/>
  <c r="C5" i="758"/>
  <c r="D21" i="765"/>
  <c r="K15" i="757"/>
  <c r="F30" i="757"/>
  <c r="F32" i="757" s="1"/>
  <c r="C7" i="758"/>
  <c r="C9" i="758"/>
  <c r="E21" i="765"/>
  <c r="K28" i="757"/>
  <c r="I30" i="757"/>
  <c r="M30" i="757"/>
  <c r="K43" i="757" s="1"/>
  <c r="I28" i="757"/>
  <c r="M28" i="757"/>
  <c r="K30" i="757"/>
  <c r="F3" i="749"/>
  <c r="H3" i="749"/>
  <c r="J3" i="749"/>
  <c r="F4" i="749"/>
  <c r="H4" i="749"/>
  <c r="J4" i="749"/>
  <c r="F5" i="749"/>
  <c r="H5" i="749"/>
  <c r="J5" i="749"/>
  <c r="F6" i="749"/>
  <c r="H6" i="749"/>
  <c r="J6" i="749"/>
  <c r="F7" i="749"/>
  <c r="H7" i="749"/>
  <c r="J7" i="749"/>
  <c r="F8" i="749"/>
  <c r="H8" i="749"/>
  <c r="J8" i="749"/>
  <c r="F9" i="749"/>
  <c r="H9" i="749"/>
  <c r="J9" i="749"/>
  <c r="F10" i="749"/>
  <c r="H10" i="749"/>
  <c r="J10" i="749"/>
  <c r="F11" i="749"/>
  <c r="H11" i="749"/>
  <c r="J11" i="749"/>
  <c r="F12" i="749"/>
  <c r="H12" i="749"/>
  <c r="J12" i="749"/>
  <c r="F13" i="749"/>
  <c r="H13" i="749"/>
  <c r="J13" i="749"/>
  <c r="A15" i="749"/>
  <c r="B15" i="749"/>
  <c r="C15" i="749"/>
  <c r="I10" i="777" l="1"/>
  <c r="I9" i="777"/>
  <c r="G7" i="771"/>
  <c r="G6" i="771"/>
  <c r="G5" i="771"/>
  <c r="G8" i="771"/>
  <c r="C34" i="775"/>
  <c r="C32" i="775"/>
  <c r="D25" i="778"/>
  <c r="D32" i="778"/>
  <c r="D18" i="778"/>
  <c r="A7" i="779"/>
  <c r="F6" i="779"/>
  <c r="F7" i="779" s="1"/>
  <c r="A32" i="775"/>
  <c r="E43" i="775"/>
  <c r="N43" i="775" s="1"/>
  <c r="A10" i="775"/>
  <c r="H10" i="775" s="1"/>
  <c r="O10" i="775" s="1"/>
  <c r="A34" i="775"/>
  <c r="D34" i="775"/>
  <c r="O8" i="773"/>
  <c r="X8" i="773" s="1"/>
  <c r="F13" i="773" s="1"/>
  <c r="O13" i="773" s="1"/>
  <c r="H12" i="775"/>
  <c r="O12" i="775" s="1"/>
  <c r="C44" i="775"/>
  <c r="L44" i="775" s="1"/>
  <c r="C45" i="775"/>
  <c r="L45" i="775" s="1"/>
  <c r="U45" i="775" s="1"/>
  <c r="B34" i="775"/>
  <c r="H5" i="770"/>
  <c r="G5" i="770"/>
  <c r="H6" i="770"/>
  <c r="G6" i="770"/>
  <c r="B32" i="775"/>
  <c r="S11" i="773"/>
  <c r="A16" i="773" s="1"/>
  <c r="V11" i="773"/>
  <c r="D16" i="773" s="1"/>
  <c r="U11" i="773"/>
  <c r="C16" i="773" s="1"/>
  <c r="T11" i="773"/>
  <c r="B16" i="773" s="1"/>
  <c r="D43" i="775"/>
  <c r="M43" i="775" s="1"/>
  <c r="B45" i="775"/>
  <c r="B44" i="775"/>
  <c r="K44" i="775" s="1"/>
  <c r="A43" i="775"/>
  <c r="J43" i="775" s="1"/>
  <c r="C43" i="775"/>
  <c r="L43" i="775" s="1"/>
  <c r="U43" i="775" s="1"/>
  <c r="P10" i="775"/>
  <c r="D10" i="775"/>
  <c r="K10" i="775" s="1"/>
  <c r="R10" i="775" s="1"/>
  <c r="S10" i="773"/>
  <c r="V10" i="773"/>
  <c r="U10" i="773"/>
  <c r="C15" i="773" s="1"/>
  <c r="L15" i="773" s="1"/>
  <c r="U15" i="773" s="1"/>
  <c r="T10" i="773"/>
  <c r="B15" i="773" s="1"/>
  <c r="K15" i="773" s="1"/>
  <c r="T15" i="773" s="1"/>
  <c r="P21" i="775"/>
  <c r="P11" i="775"/>
  <c r="K12" i="775"/>
  <c r="R12" i="775" s="1"/>
  <c r="E9" i="754"/>
  <c r="G9" i="754"/>
  <c r="F9" i="754"/>
  <c r="A8" i="751"/>
  <c r="B7" i="751"/>
  <c r="K13" i="755"/>
  <c r="L6" i="755" s="1"/>
  <c r="N12" i="754"/>
  <c r="L29" i="755"/>
  <c r="K30" i="755" s="1"/>
  <c r="J28" i="755"/>
  <c r="N11" i="754"/>
  <c r="L48" i="755"/>
  <c r="K49" i="755" s="1"/>
  <c r="J47" i="755"/>
  <c r="B57" i="751"/>
  <c r="A58" i="751"/>
  <c r="Q5" i="707"/>
  <c r="R5" i="707"/>
  <c r="S5" i="707"/>
  <c r="Q6" i="707"/>
  <c r="R6" i="707"/>
  <c r="S6" i="707"/>
  <c r="Q7" i="707"/>
  <c r="R7" i="707"/>
  <c r="S7" i="707"/>
  <c r="Q8" i="707"/>
  <c r="R8" i="707"/>
  <c r="S8" i="707"/>
  <c r="Q9" i="707"/>
  <c r="R9" i="707"/>
  <c r="S9" i="707"/>
  <c r="Q10" i="707"/>
  <c r="R10" i="707"/>
  <c r="S10" i="707"/>
  <c r="Q11" i="707"/>
  <c r="R11" i="707"/>
  <c r="S11" i="707"/>
  <c r="Q12" i="707"/>
  <c r="R12" i="707"/>
  <c r="S12" i="707"/>
  <c r="Q13" i="707"/>
  <c r="R13" i="707"/>
  <c r="S13" i="707"/>
  <c r="R4" i="707"/>
  <c r="S4" i="707"/>
  <c r="Q4" i="707"/>
  <c r="G9" i="707"/>
  <c r="H13" i="707" a="1"/>
  <c r="H13" i="707" s="1"/>
  <c r="G14" i="707"/>
  <c r="H14" i="707"/>
  <c r="G15" i="707"/>
  <c r="G8" i="707" s="1"/>
  <c r="H15" i="707"/>
  <c r="H8" i="707" s="1"/>
  <c r="G16" i="707"/>
  <c r="H16" i="707"/>
  <c r="H9" i="707" s="1"/>
  <c r="H17" i="707" a="1"/>
  <c r="H17" i="707" s="1"/>
  <c r="H10" i="707" s="1"/>
  <c r="G18" i="707"/>
  <c r="H18" i="707"/>
  <c r="F18" i="707"/>
  <c r="F16" i="707"/>
  <c r="F17" i="707" s="1" a="1"/>
  <c r="F17" i="707" s="1"/>
  <c r="F10" i="707" s="1"/>
  <c r="F15" i="707"/>
  <c r="F8" i="707" s="1"/>
  <c r="F14" i="707"/>
  <c r="G5" i="707"/>
  <c r="H5" i="707"/>
  <c r="F5" i="707"/>
  <c r="Q5" i="706"/>
  <c r="R5" i="706"/>
  <c r="S5" i="706"/>
  <c r="Q6" i="706"/>
  <c r="R6" i="706"/>
  <c r="S6" i="706"/>
  <c r="Q7" i="706"/>
  <c r="R7" i="706"/>
  <c r="S7" i="706"/>
  <c r="Q8" i="706"/>
  <c r="R8" i="706"/>
  <c r="S8" i="706"/>
  <c r="Q9" i="706"/>
  <c r="R9" i="706"/>
  <c r="S9" i="706"/>
  <c r="Q10" i="706"/>
  <c r="R10" i="706"/>
  <c r="S10" i="706"/>
  <c r="Q11" i="706"/>
  <c r="R11" i="706"/>
  <c r="S11" i="706"/>
  <c r="Q12" i="706"/>
  <c r="R12" i="706"/>
  <c r="S12" i="706"/>
  <c r="Q13" i="706"/>
  <c r="R13" i="706"/>
  <c r="S13" i="706"/>
  <c r="R4" i="706"/>
  <c r="S4" i="706"/>
  <c r="Q4" i="706"/>
  <c r="G22" i="706"/>
  <c r="G21" i="706"/>
  <c r="H7" i="706"/>
  <c r="F8" i="706"/>
  <c r="G13" i="706"/>
  <c r="H13" i="706"/>
  <c r="H12" i="706" s="1" a="1"/>
  <c r="H12" i="706" s="1"/>
  <c r="H6" i="706" s="1"/>
  <c r="G14" i="706"/>
  <c r="G7" i="706" s="1"/>
  <c r="H14" i="706"/>
  <c r="G15" i="706"/>
  <c r="G16" i="706" s="1" a="1"/>
  <c r="G16" i="706" s="1"/>
  <c r="G9" i="706" s="1"/>
  <c r="H15" i="706"/>
  <c r="H8" i="706" s="1"/>
  <c r="H16" i="706" a="1"/>
  <c r="H16" i="706" s="1"/>
  <c r="H9" i="706" s="1"/>
  <c r="G17" i="706"/>
  <c r="H17" i="706"/>
  <c r="F17" i="706"/>
  <c r="F16" i="706" a="1"/>
  <c r="F16" i="706" s="1"/>
  <c r="F9" i="706" s="1"/>
  <c r="F15" i="706"/>
  <c r="F14" i="706"/>
  <c r="F13" i="706"/>
  <c r="F12" i="706" s="1" a="1"/>
  <c r="F12" i="706" s="1"/>
  <c r="F6" i="706" s="1"/>
  <c r="G4" i="706"/>
  <c r="H4" i="706"/>
  <c r="F4" i="706"/>
  <c r="G21" i="705"/>
  <c r="G13" i="705"/>
  <c r="G12" i="705" s="1" a="1"/>
  <c r="G12" i="705" s="1"/>
  <c r="H13" i="705"/>
  <c r="G14" i="705"/>
  <c r="G7" i="705" s="1"/>
  <c r="H14" i="705"/>
  <c r="H7" i="705" s="1"/>
  <c r="G15" i="705"/>
  <c r="G16" i="705" s="1" a="1"/>
  <c r="G16" i="705" s="1"/>
  <c r="G9" i="705" s="1"/>
  <c r="H15" i="705"/>
  <c r="H8" i="705" s="1"/>
  <c r="G17" i="705"/>
  <c r="H17" i="705"/>
  <c r="F17" i="705"/>
  <c r="F15" i="705"/>
  <c r="F14" i="705"/>
  <c r="F7" i="705" s="1"/>
  <c r="F13" i="705"/>
  <c r="F12" i="705" s="1" a="1"/>
  <c r="F12" i="705" s="1"/>
  <c r="G4" i="705"/>
  <c r="H4" i="705"/>
  <c r="F4" i="705"/>
  <c r="A39" i="754"/>
  <c r="C39" i="754"/>
  <c r="L12" i="755" l="1"/>
  <c r="L8" i="755"/>
  <c r="X13" i="773"/>
  <c r="S43" i="775"/>
  <c r="D15" i="773"/>
  <c r="M15" i="773" s="1"/>
  <c r="V15" i="773" s="1"/>
  <c r="K16" i="773"/>
  <c r="T16" i="773" s="1"/>
  <c r="J16" i="773"/>
  <c r="S16" i="773" s="1"/>
  <c r="M16" i="773"/>
  <c r="V16" i="773" s="1"/>
  <c r="L16" i="773"/>
  <c r="U16" i="773" s="1"/>
  <c r="R11" i="775"/>
  <c r="W43" i="775"/>
  <c r="O11" i="775"/>
  <c r="I12" i="777"/>
  <c r="I14" i="777"/>
  <c r="I17" i="777" s="1" a="1"/>
  <c r="O45" i="775"/>
  <c r="N45" i="775"/>
  <c r="W45" i="775" s="1"/>
  <c r="U44" i="775"/>
  <c r="M45" i="775"/>
  <c r="V45" i="775" s="1"/>
  <c r="A15" i="773"/>
  <c r="J15" i="773" s="1"/>
  <c r="S15" i="773" s="1"/>
  <c r="K45" i="775"/>
  <c r="X44" i="775"/>
  <c r="J45" i="775"/>
  <c r="S45" i="775" s="1"/>
  <c r="S44" i="775"/>
  <c r="I11" i="777"/>
  <c r="B40" i="754"/>
  <c r="B58" i="751"/>
  <c r="A59" i="751"/>
  <c r="L10" i="755"/>
  <c r="J27" i="755"/>
  <c r="L28" i="755"/>
  <c r="L9" i="755"/>
  <c r="A9" i="751"/>
  <c r="B8" i="751"/>
  <c r="L7" i="755"/>
  <c r="G10" i="754"/>
  <c r="F10" i="754"/>
  <c r="E10" i="754"/>
  <c r="L11" i="755"/>
  <c r="L47" i="755"/>
  <c r="K48" i="755" s="1"/>
  <c r="J46" i="755"/>
  <c r="F9" i="707"/>
  <c r="F13" i="707" a="1"/>
  <c r="F13" i="707" s="1"/>
  <c r="F7" i="707" s="1"/>
  <c r="G13" i="707" a="1"/>
  <c r="G13" i="707" s="1"/>
  <c r="G7" i="707" s="1"/>
  <c r="H7" i="707"/>
  <c r="G17" i="707" a="1"/>
  <c r="G17" i="707" s="1"/>
  <c r="G10" i="707" s="1"/>
  <c r="G12" i="706" a="1"/>
  <c r="G12" i="706" s="1"/>
  <c r="G6" i="706" s="1"/>
  <c r="F7" i="706"/>
  <c r="G8" i="706"/>
  <c r="F8" i="705"/>
  <c r="G8" i="705"/>
  <c r="G6" i="705"/>
  <c r="F16" i="705" a="1"/>
  <c r="F16" i="705" s="1"/>
  <c r="F9" i="705" s="1"/>
  <c r="H16" i="705" a="1"/>
  <c r="H16" i="705" s="1"/>
  <c r="H9" i="705" s="1"/>
  <c r="F6" i="705"/>
  <c r="H12" i="705" a="1"/>
  <c r="H12" i="705" s="1"/>
  <c r="H6" i="705"/>
  <c r="F19" i="705"/>
  <c r="G10" i="705" s="1"/>
  <c r="A40" i="754"/>
  <c r="L13" i="755" l="1"/>
  <c r="J18" i="777"/>
  <c r="I18" i="777"/>
  <c r="J17" i="777"/>
  <c r="I17" i="777"/>
  <c r="L9" i="777" s="1" a="1"/>
  <c r="T45" i="775"/>
  <c r="T43" i="775"/>
  <c r="X45" i="775"/>
  <c r="X43" i="775"/>
  <c r="T44" i="775"/>
  <c r="V43" i="775"/>
  <c r="W44" i="775"/>
  <c r="V44" i="775"/>
  <c r="J45" i="755"/>
  <c r="L46" i="755"/>
  <c r="L27" i="755"/>
  <c r="K27" i="755" s="1"/>
  <c r="J26" i="755"/>
  <c r="K29" i="755"/>
  <c r="E11" i="754"/>
  <c r="F11" i="754"/>
  <c r="G11" i="754"/>
  <c r="B9" i="751"/>
  <c r="A10" i="751"/>
  <c r="B59" i="751"/>
  <c r="A60" i="751"/>
  <c r="F20" i="707"/>
  <c r="G6" i="707" s="1"/>
  <c r="G23" i="707"/>
  <c r="G22" i="707"/>
  <c r="G11" i="707"/>
  <c r="F22" i="707"/>
  <c r="H11" i="707"/>
  <c r="F11" i="707"/>
  <c r="F6" i="707"/>
  <c r="H6" i="707"/>
  <c r="F19" i="706"/>
  <c r="G10" i="706" s="1"/>
  <c r="F10" i="706"/>
  <c r="G5" i="706"/>
  <c r="H5" i="705"/>
  <c r="F5" i="705"/>
  <c r="H10" i="705"/>
  <c r="G5" i="705"/>
  <c r="F10" i="705"/>
  <c r="B11" i="744"/>
  <c r="C40" i="754"/>
  <c r="L9" i="777" l="1"/>
  <c r="L10" i="777"/>
  <c r="L11" i="777" s="1"/>
  <c r="C41" i="754"/>
  <c r="B41" i="754"/>
  <c r="A11" i="751"/>
  <c r="B10" i="751"/>
  <c r="B60" i="751"/>
  <c r="A61" i="751"/>
  <c r="J44" i="755"/>
  <c r="L45" i="755"/>
  <c r="K45" i="755" s="1"/>
  <c r="K47" i="755"/>
  <c r="G12" i="754"/>
  <c r="E12" i="754"/>
  <c r="F12" i="754"/>
  <c r="K28" i="755"/>
  <c r="H10" i="706"/>
  <c r="F5" i="706"/>
  <c r="H5" i="706"/>
  <c r="A41" i="754"/>
  <c r="L14" i="777" l="1"/>
  <c r="L17" i="777" s="1" a="1"/>
  <c r="L12" i="777"/>
  <c r="A12" i="751"/>
  <c r="B11" i="751"/>
  <c r="F13" i="754"/>
  <c r="G13" i="754" s="1"/>
  <c r="E13" i="754"/>
  <c r="B61" i="751"/>
  <c r="A62" i="751"/>
  <c r="K46" i="755"/>
  <c r="C42" i="754"/>
  <c r="B42" i="754"/>
  <c r="G24" i="239"/>
  <c r="H24" i="239"/>
  <c r="G25" i="239"/>
  <c r="H25" i="239"/>
  <c r="G26" i="239"/>
  <c r="H26" i="239"/>
  <c r="F26" i="239"/>
  <c r="F25" i="239"/>
  <c r="F24" i="239"/>
  <c r="F29" i="239"/>
  <c r="F22" i="239" s="1"/>
  <c r="F23" i="239" s="1"/>
  <c r="G21" i="239"/>
  <c r="H21" i="239"/>
  <c r="F21" i="239"/>
  <c r="G8" i="239"/>
  <c r="H8" i="239"/>
  <c r="G9" i="239"/>
  <c r="H9" i="239"/>
  <c r="G10" i="239"/>
  <c r="H10" i="239"/>
  <c r="F10" i="239"/>
  <c r="F9" i="239"/>
  <c r="F8" i="239"/>
  <c r="F13" i="239"/>
  <c r="F6" i="239" s="1"/>
  <c r="F7" i="239" s="1"/>
  <c r="G5" i="239"/>
  <c r="H5" i="239"/>
  <c r="F5" i="239"/>
  <c r="A42" i="754"/>
  <c r="L18" i="777" l="1"/>
  <c r="M17" i="777"/>
  <c r="L17" i="777"/>
  <c r="M18" i="777"/>
  <c r="E14" i="754"/>
  <c r="F14" i="754"/>
  <c r="G14" i="754" s="1"/>
  <c r="B62" i="751"/>
  <c r="A63" i="751"/>
  <c r="B43" i="754"/>
  <c r="A13" i="751"/>
  <c r="B12" i="751"/>
  <c r="H11" i="239"/>
  <c r="H27" i="239"/>
  <c r="F11" i="239"/>
  <c r="H6" i="239"/>
  <c r="H7" i="239" s="1"/>
  <c r="F27" i="239"/>
  <c r="H22" i="239"/>
  <c r="H23" i="239" s="1"/>
  <c r="G11" i="239"/>
  <c r="G6" i="239"/>
  <c r="G7" i="239" s="1"/>
  <c r="G27" i="239"/>
  <c r="G22" i="239"/>
  <c r="G23" i="239" s="1"/>
  <c r="A43" i="754"/>
  <c r="C43" i="754"/>
  <c r="O9" i="777" l="1" a="1"/>
  <c r="C44" i="754"/>
  <c r="B44" i="754"/>
  <c r="E15" i="754"/>
  <c r="G15" i="754"/>
  <c r="F15" i="754"/>
  <c r="A14" i="751"/>
  <c r="B13" i="751"/>
  <c r="B63" i="751"/>
  <c r="A64" i="751"/>
  <c r="A44" i="754"/>
  <c r="O10" i="777" l="1"/>
  <c r="O9" i="777"/>
  <c r="G16" i="754"/>
  <c r="F16" i="754"/>
  <c r="E16" i="754"/>
  <c r="A15" i="751"/>
  <c r="B14" i="751"/>
  <c r="B64" i="751"/>
  <c r="A65" i="751"/>
  <c r="B45" i="754"/>
  <c r="F9" i="21"/>
  <c r="G9" i="21"/>
  <c r="H9" i="21"/>
  <c r="G24" i="21"/>
  <c r="G25" i="21" s="1"/>
  <c r="H24" i="21"/>
  <c r="H25" i="21" s="1"/>
  <c r="G26" i="21"/>
  <c r="H26" i="21"/>
  <c r="G27" i="21"/>
  <c r="H27" i="21"/>
  <c r="G28" i="21"/>
  <c r="H28" i="21"/>
  <c r="G29" i="21"/>
  <c r="H29" i="21"/>
  <c r="F28" i="21"/>
  <c r="F27" i="21"/>
  <c r="F26" i="21"/>
  <c r="F29" i="21"/>
  <c r="F24" i="21"/>
  <c r="F25" i="21" s="1"/>
  <c r="G23" i="21"/>
  <c r="H23" i="21"/>
  <c r="F23" i="21"/>
  <c r="A45" i="754"/>
  <c r="C45" i="754"/>
  <c r="O14" i="777" l="1"/>
  <c r="O17" i="777" s="1" a="1"/>
  <c r="O12" i="777"/>
  <c r="O11" i="777"/>
  <c r="B46" i="754"/>
  <c r="A16" i="751"/>
  <c r="B15" i="751"/>
  <c r="B65" i="751"/>
  <c r="A66" i="751"/>
  <c r="F17" i="754"/>
  <c r="G17" i="754"/>
  <c r="E17" i="754"/>
  <c r="A46" i="754"/>
  <c r="P17" i="777" l="1"/>
  <c r="O17" i="777"/>
  <c r="P18" i="777"/>
  <c r="O18" i="777"/>
  <c r="A17" i="751"/>
  <c r="B16" i="751"/>
  <c r="B66" i="751"/>
  <c r="A67" i="751"/>
  <c r="E18" i="754"/>
  <c r="F18" i="754"/>
  <c r="G18" i="754" s="1"/>
  <c r="C46" i="754"/>
  <c r="R9" i="777" l="1" a="1"/>
  <c r="B47" i="754"/>
  <c r="C47" i="754"/>
  <c r="F19" i="754"/>
  <c r="G19" i="754"/>
  <c r="E19" i="754"/>
  <c r="B67" i="751"/>
  <c r="A68" i="751"/>
  <c r="A18" i="751"/>
  <c r="B17" i="751"/>
  <c r="D13" i="712"/>
  <c r="D12" i="712"/>
  <c r="D11" i="712"/>
  <c r="D10" i="712"/>
  <c r="D9" i="712"/>
  <c r="D8" i="712"/>
  <c r="E7" i="712"/>
  <c r="D7" i="712"/>
  <c r="D6" i="712"/>
  <c r="D5" i="712"/>
  <c r="D4" i="712"/>
  <c r="A47" i="754"/>
  <c r="R9" i="777" l="1"/>
  <c r="R10" i="777"/>
  <c r="R11" i="777" s="1"/>
  <c r="A19" i="751"/>
  <c r="B18" i="751"/>
  <c r="E20" i="754"/>
  <c r="G20" i="754"/>
  <c r="F20" i="754"/>
  <c r="B68" i="751"/>
  <c r="A69" i="751"/>
  <c r="C48" i="754"/>
  <c r="B48" i="754"/>
  <c r="E4" i="712"/>
  <c r="E6" i="712"/>
  <c r="E12" i="712"/>
  <c r="E8" i="712"/>
  <c r="E11" i="712"/>
  <c r="E10" i="712"/>
  <c r="E5" i="712"/>
  <c r="E9" i="712"/>
  <c r="E13" i="712"/>
  <c r="E15" i="712"/>
  <c r="A48" i="754"/>
  <c r="R14" i="777" l="1"/>
  <c r="R17" i="777" s="1" a="1"/>
  <c r="R12" i="777"/>
  <c r="C49" i="754"/>
  <c r="B49" i="754"/>
  <c r="B69" i="751"/>
  <c r="A70" i="751"/>
  <c r="A20" i="751"/>
  <c r="B19" i="751"/>
  <c r="C9" i="708"/>
  <c r="H9" i="708"/>
  <c r="I9" i="708" s="1"/>
  <c r="G9" i="708"/>
  <c r="F9" i="708"/>
  <c r="H5" i="708"/>
  <c r="H6" i="708"/>
  <c r="H7" i="708" s="1"/>
  <c r="H4" i="708"/>
  <c r="G5" i="708"/>
  <c r="I5" i="708" s="1"/>
  <c r="G6" i="708"/>
  <c r="G4" i="708"/>
  <c r="G7" i="708" s="1"/>
  <c r="F5" i="708"/>
  <c r="F6" i="708"/>
  <c r="F4" i="708"/>
  <c r="F7" i="708" s="1"/>
  <c r="C7" i="708" s="1"/>
  <c r="D9" i="708" s="1"/>
  <c r="B7" i="708"/>
  <c r="A49" i="754"/>
  <c r="R17" i="777" l="1"/>
  <c r="S18" i="777"/>
  <c r="R18" i="777"/>
  <c r="S17" i="777"/>
  <c r="B70" i="751"/>
  <c r="A71" i="751"/>
  <c r="A21" i="751"/>
  <c r="B20" i="751"/>
  <c r="B50" i="754"/>
  <c r="I6" i="708"/>
  <c r="I4" i="708"/>
  <c r="I7" i="708" s="1"/>
  <c r="D7" i="708" s="1"/>
  <c r="A50" i="754"/>
  <c r="A22" i="751" l="1"/>
  <c r="B21" i="751"/>
  <c r="B71" i="751"/>
  <c r="A72" i="751"/>
  <c r="Q4" i="413"/>
  <c r="Q5" i="413"/>
  <c r="Q6" i="413"/>
  <c r="Q7" i="413"/>
  <c r="Q8" i="413"/>
  <c r="Q9" i="413"/>
  <c r="Q10" i="413"/>
  <c r="Q11" i="413"/>
  <c r="Q12" i="413"/>
  <c r="Q13" i="413"/>
  <c r="Q14" i="413"/>
  <c r="Q15" i="413"/>
  <c r="Q16" i="413"/>
  <c r="Q17" i="413"/>
  <c r="Q18" i="413"/>
  <c r="Q19" i="413"/>
  <c r="Q20" i="413"/>
  <c r="Q21" i="413"/>
  <c r="Q22" i="413"/>
  <c r="Q3" i="413"/>
  <c r="P4" i="413"/>
  <c r="P5" i="413"/>
  <c r="P6" i="413"/>
  <c r="P7" i="413"/>
  <c r="P8" i="413"/>
  <c r="P9" i="413"/>
  <c r="P10" i="413"/>
  <c r="P11" i="413"/>
  <c r="P12" i="413"/>
  <c r="P13" i="413"/>
  <c r="P14" i="413"/>
  <c r="P15" i="413"/>
  <c r="P16" i="413"/>
  <c r="P17" i="413"/>
  <c r="P18" i="413"/>
  <c r="P19" i="413"/>
  <c r="P20" i="413"/>
  <c r="P21" i="413"/>
  <c r="P22" i="413"/>
  <c r="P3" i="413"/>
  <c r="O4" i="413"/>
  <c r="O5" i="413"/>
  <c r="O6" i="413"/>
  <c r="O7" i="413"/>
  <c r="O8" i="413"/>
  <c r="O9" i="413"/>
  <c r="O10" i="413"/>
  <c r="O11" i="413"/>
  <c r="O12" i="413"/>
  <c r="O13" i="413"/>
  <c r="O14" i="413"/>
  <c r="O15" i="413"/>
  <c r="O16" i="413"/>
  <c r="O17" i="413"/>
  <c r="O18" i="413"/>
  <c r="O19" i="413"/>
  <c r="O20" i="413"/>
  <c r="O21" i="413"/>
  <c r="O22" i="413"/>
  <c r="O3" i="413"/>
  <c r="N4" i="413"/>
  <c r="N5" i="413"/>
  <c r="N6" i="413"/>
  <c r="N7" i="413"/>
  <c r="N8" i="413"/>
  <c r="N9" i="413"/>
  <c r="N10" i="413"/>
  <c r="N11" i="413"/>
  <c r="N12" i="413"/>
  <c r="N13" i="413"/>
  <c r="N14" i="413"/>
  <c r="N15" i="413"/>
  <c r="N16" i="413"/>
  <c r="N17" i="413"/>
  <c r="N18" i="413"/>
  <c r="N19" i="413"/>
  <c r="N20" i="413"/>
  <c r="N21" i="413"/>
  <c r="N22" i="413"/>
  <c r="N3" i="413"/>
  <c r="M4" i="413"/>
  <c r="M5" i="413"/>
  <c r="M6" i="413"/>
  <c r="M7" i="413"/>
  <c r="M8" i="413"/>
  <c r="M9" i="413"/>
  <c r="M10" i="413"/>
  <c r="M11" i="413"/>
  <c r="M12" i="413"/>
  <c r="M13" i="413"/>
  <c r="M14" i="413"/>
  <c r="M15" i="413"/>
  <c r="M16" i="413"/>
  <c r="M17" i="413"/>
  <c r="M18" i="413"/>
  <c r="M19" i="413"/>
  <c r="M20" i="413"/>
  <c r="M21" i="413"/>
  <c r="M22" i="413"/>
  <c r="M3" i="413"/>
  <c r="L4" i="413"/>
  <c r="L5" i="413"/>
  <c r="L6" i="413"/>
  <c r="L7" i="413"/>
  <c r="L8" i="413"/>
  <c r="L9" i="413"/>
  <c r="L10" i="413"/>
  <c r="L11" i="413"/>
  <c r="L12" i="413"/>
  <c r="L13" i="413"/>
  <c r="L14" i="413"/>
  <c r="L15" i="413"/>
  <c r="L16" i="413"/>
  <c r="L17" i="413"/>
  <c r="L18" i="413"/>
  <c r="L19" i="413"/>
  <c r="L20" i="413"/>
  <c r="L21" i="413"/>
  <c r="L22" i="413"/>
  <c r="L3" i="413"/>
  <c r="C50" i="754"/>
  <c r="B51" i="754" l="1"/>
  <c r="C51" i="754"/>
  <c r="B72" i="751"/>
  <c r="A73" i="751"/>
  <c r="A23" i="751"/>
  <c r="B22" i="751"/>
  <c r="J6" i="700"/>
  <c r="J10" i="700" s="1"/>
  <c r="G4" i="700"/>
  <c r="E5" i="700" s="1"/>
  <c r="J5" i="700"/>
  <c r="B18" i="701"/>
  <c r="B22" i="701" s="1"/>
  <c r="B17" i="701"/>
  <c r="F21" i="701" s="1"/>
  <c r="J8" i="701"/>
  <c r="B8" i="701"/>
  <c r="N5" i="701"/>
  <c r="M5" i="701"/>
  <c r="L5" i="701"/>
  <c r="K5" i="701"/>
  <c r="J5" i="701"/>
  <c r="F5" i="701"/>
  <c r="E5" i="701"/>
  <c r="D5" i="701"/>
  <c r="C5" i="701"/>
  <c r="B5" i="701"/>
  <c r="O4" i="701"/>
  <c r="G4" i="701"/>
  <c r="G5" i="701" s="1"/>
  <c r="B12" i="702"/>
  <c r="K9" i="702"/>
  <c r="B9" i="702"/>
  <c r="P4" i="702"/>
  <c r="G4" i="702"/>
  <c r="O5" i="702" s="1"/>
  <c r="O6" i="702" s="1"/>
  <c r="A51" i="754"/>
  <c r="B73" i="751" l="1"/>
  <c r="A74" i="751"/>
  <c r="C52" i="754"/>
  <c r="B52" i="754"/>
  <c r="A24" i="751"/>
  <c r="B23" i="751"/>
  <c r="G21" i="701"/>
  <c r="G23" i="701" s="1"/>
  <c r="B5" i="700"/>
  <c r="B7" i="701"/>
  <c r="B21" i="701"/>
  <c r="B23" i="701" s="1"/>
  <c r="K10" i="700"/>
  <c r="F5" i="700"/>
  <c r="C21" i="701" a="1"/>
  <c r="C21" i="701" s="1"/>
  <c r="K9" i="700" a="1"/>
  <c r="K9" i="700" s="1"/>
  <c r="C5" i="700"/>
  <c r="D5" i="700"/>
  <c r="B7" i="700" s="1"/>
  <c r="E7" i="700"/>
  <c r="N9" i="700"/>
  <c r="J9" i="700"/>
  <c r="J11" i="700" s="1"/>
  <c r="O9" i="700"/>
  <c r="F23" i="701"/>
  <c r="F22" i="701"/>
  <c r="B9" i="701"/>
  <c r="C22" i="701"/>
  <c r="B10" i="701"/>
  <c r="B11" i="701" s="1"/>
  <c r="O5" i="701"/>
  <c r="J7" i="701" s="1"/>
  <c r="J10" i="701"/>
  <c r="J9" i="701"/>
  <c r="G22" i="701"/>
  <c r="B5" i="702"/>
  <c r="F5" i="702"/>
  <c r="F6" i="702" s="1"/>
  <c r="N5" i="702"/>
  <c r="N6" i="702" s="1"/>
  <c r="D5" i="702"/>
  <c r="D6" i="702" s="1"/>
  <c r="L5" i="702"/>
  <c r="L6" i="702" s="1"/>
  <c r="E5" i="702"/>
  <c r="E6" i="702" s="1"/>
  <c r="M5" i="702"/>
  <c r="M6" i="702" s="1"/>
  <c r="C5" i="702"/>
  <c r="C6" i="702" s="1"/>
  <c r="K5" i="702"/>
  <c r="A52" i="754"/>
  <c r="B74" i="751" l="1"/>
  <c r="A75" i="751"/>
  <c r="A25" i="751"/>
  <c r="B24" i="751"/>
  <c r="B12" i="701"/>
  <c r="C23" i="701"/>
  <c r="K11" i="700"/>
  <c r="J11" i="701"/>
  <c r="J12" i="701" s="1"/>
  <c r="B9" i="700"/>
  <c r="B8" i="700"/>
  <c r="O11" i="700"/>
  <c r="O10" i="700"/>
  <c r="N11" i="700"/>
  <c r="N10" i="700"/>
  <c r="E9" i="700"/>
  <c r="E8" i="700"/>
  <c r="K6" i="702"/>
  <c r="K8" i="702" s="1"/>
  <c r="K10" i="702" s="1"/>
  <c r="B6" i="702"/>
  <c r="B8" i="702" s="1"/>
  <c r="B10" i="702" s="1"/>
  <c r="A26" i="751" l="1"/>
  <c r="B25" i="751"/>
  <c r="B75" i="751"/>
  <c r="A76" i="751"/>
  <c r="D12" i="686"/>
  <c r="D13" i="686"/>
  <c r="D14" i="686"/>
  <c r="D11" i="686"/>
  <c r="D10" i="686"/>
  <c r="D5" i="686"/>
  <c r="D6" i="686"/>
  <c r="D7" i="686"/>
  <c r="D8" i="686"/>
  <c r="D9" i="686"/>
  <c r="D4" i="686"/>
  <c r="B76" i="751" l="1"/>
  <c r="A77" i="751"/>
  <c r="A27" i="751"/>
  <c r="B26" i="751"/>
  <c r="B77" i="751" l="1"/>
  <c r="A78" i="751"/>
  <c r="A28" i="751"/>
  <c r="B27" i="751"/>
  <c r="K8" i="686"/>
  <c r="K9" i="686" s="1"/>
  <c r="J10" i="686"/>
  <c r="J9" i="686"/>
  <c r="J14" i="686"/>
  <c r="J12" i="686"/>
  <c r="J5" i="686"/>
  <c r="K12" i="686"/>
  <c r="K13" i="686" s="1"/>
  <c r="J11" i="686"/>
  <c r="K10" i="686"/>
  <c r="K11" i="686" s="1"/>
  <c r="K6" i="686"/>
  <c r="K7" i="686" s="1"/>
  <c r="K4" i="686"/>
  <c r="K5" i="686" s="1"/>
  <c r="J7" i="686"/>
  <c r="J6" i="686"/>
  <c r="J4" i="686"/>
  <c r="J13" i="686"/>
  <c r="J8" i="686"/>
  <c r="B78" i="751" l="1"/>
  <c r="A79" i="751"/>
  <c r="A29" i="751"/>
  <c r="B28" i="751"/>
  <c r="B11" i="639"/>
  <c r="A30" i="751" l="1"/>
  <c r="B29" i="751"/>
  <c r="B79" i="751"/>
  <c r="A80" i="751"/>
  <c r="K11" i="13"/>
  <c r="K14" i="13" s="1"/>
  <c r="K18" i="484"/>
  <c r="K19" i="484"/>
  <c r="K17" i="484"/>
  <c r="J18" i="484"/>
  <c r="J19" i="484"/>
  <c r="J17" i="484"/>
  <c r="B80" i="751" l="1"/>
  <c r="A81" i="751"/>
  <c r="A31" i="751"/>
  <c r="B30" i="751"/>
  <c r="E6" i="485"/>
  <c r="E13" i="485" s="1"/>
  <c r="E8" i="485"/>
  <c r="A32" i="751" l="1"/>
  <c r="B31" i="751"/>
  <c r="B81" i="751"/>
  <c r="A82" i="751"/>
  <c r="J4" i="7"/>
  <c r="J8" i="7"/>
  <c r="J7" i="7"/>
  <c r="J6" i="7"/>
  <c r="J5" i="7"/>
  <c r="A33" i="751" l="1"/>
  <c r="B32" i="751"/>
  <c r="B82" i="751"/>
  <c r="A83" i="751"/>
  <c r="G5" i="622"/>
  <c r="G6" i="622" s="1"/>
  <c r="F5" i="622"/>
  <c r="E5" i="622"/>
  <c r="G3" i="622"/>
  <c r="F3" i="622"/>
  <c r="E3" i="622"/>
  <c r="B83" i="751" l="1"/>
  <c r="A84" i="751"/>
  <c r="A34" i="751"/>
  <c r="B33" i="751"/>
  <c r="G7" i="622"/>
  <c r="F6" i="622"/>
  <c r="A5" i="622"/>
  <c r="E6" i="622" s="1"/>
  <c r="G45" i="621"/>
  <c r="G46" i="621" s="1"/>
  <c r="G47" i="621" s="1"/>
  <c r="G48" i="621" s="1"/>
  <c r="G49" i="621" s="1"/>
  <c r="G50" i="621" s="1"/>
  <c r="G51" i="621" s="1"/>
  <c r="G52" i="621" s="1"/>
  <c r="G53" i="621" s="1"/>
  <c r="G54" i="621" s="1"/>
  <c r="N48" i="621" s="1"/>
  <c r="F45" i="621"/>
  <c r="E45" i="621"/>
  <c r="E46" i="621" s="1"/>
  <c r="E47" i="621" s="1"/>
  <c r="E48" i="621" s="1"/>
  <c r="E49" i="621" s="1"/>
  <c r="E50" i="621" s="1"/>
  <c r="E51" i="621" s="1"/>
  <c r="E52" i="621" s="1"/>
  <c r="E53" i="621" s="1"/>
  <c r="E54" i="621" s="1"/>
  <c r="G43" i="621"/>
  <c r="F43" i="621"/>
  <c r="C54" i="621"/>
  <c r="B54" i="621"/>
  <c r="G26" i="621"/>
  <c r="F26" i="621"/>
  <c r="F27" i="621" s="1"/>
  <c r="E26" i="621"/>
  <c r="E27" i="621" s="1"/>
  <c r="E28" i="621" s="1"/>
  <c r="E29" i="621" s="1"/>
  <c r="E30" i="621" s="1"/>
  <c r="E31" i="621" s="1"/>
  <c r="E32" i="621" s="1"/>
  <c r="E33" i="621" s="1"/>
  <c r="E34" i="621" s="1"/>
  <c r="E35" i="621" s="1"/>
  <c r="C14" i="622"/>
  <c r="B14" i="622"/>
  <c r="C35" i="621"/>
  <c r="B35" i="621"/>
  <c r="C18" i="621"/>
  <c r="L9" i="621" s="1"/>
  <c r="B18" i="621"/>
  <c r="K9" i="621" s="1"/>
  <c r="E8" i="621"/>
  <c r="E9" i="621" s="1"/>
  <c r="D8" i="621"/>
  <c r="D9" i="621" s="1"/>
  <c r="A35" i="751" l="1"/>
  <c r="B34" i="751"/>
  <c r="B84" i="751"/>
  <c r="A85" i="751"/>
  <c r="F7" i="622"/>
  <c r="G8" i="622"/>
  <c r="F28" i="621"/>
  <c r="I51" i="621"/>
  <c r="I49" i="621"/>
  <c r="F46" i="621"/>
  <c r="I54" i="621"/>
  <c r="I47" i="621"/>
  <c r="I45" i="621"/>
  <c r="N46" i="621"/>
  <c r="N47" i="621" s="1"/>
  <c r="N50" i="621" s="1"/>
  <c r="G27" i="621"/>
  <c r="I52" i="621"/>
  <c r="I50" i="621"/>
  <c r="I44" i="621"/>
  <c r="I53" i="621"/>
  <c r="I48" i="621"/>
  <c r="I46" i="621"/>
  <c r="A6" i="622"/>
  <c r="E7" i="622" s="1"/>
  <c r="M9" i="621"/>
  <c r="D10" i="621"/>
  <c r="E10" i="621"/>
  <c r="B85" i="751" l="1"/>
  <c r="A86" i="751"/>
  <c r="A36" i="751"/>
  <c r="B35" i="751"/>
  <c r="G9" i="622"/>
  <c r="F8" i="622"/>
  <c r="F47" i="621"/>
  <c r="G28" i="621"/>
  <c r="F29" i="621"/>
  <c r="A7" i="622"/>
  <c r="E8" i="622" s="1"/>
  <c r="E11" i="621"/>
  <c r="D11" i="621"/>
  <c r="A37" i="751" l="1"/>
  <c r="B36" i="751"/>
  <c r="B86" i="751"/>
  <c r="A87" i="751"/>
  <c r="F9" i="622"/>
  <c r="G10" i="622"/>
  <c r="G29" i="621"/>
  <c r="F30" i="621"/>
  <c r="F48" i="621"/>
  <c r="A8" i="622"/>
  <c r="E9" i="622" s="1"/>
  <c r="E12" i="621"/>
  <c r="D12" i="621"/>
  <c r="B87" i="751" l="1"/>
  <c r="A88" i="751"/>
  <c r="A38" i="751"/>
  <c r="B37" i="751"/>
  <c r="G11" i="622"/>
  <c r="F10" i="622"/>
  <c r="F31" i="621"/>
  <c r="M27" i="621"/>
  <c r="F49" i="621"/>
  <c r="G30" i="621"/>
  <c r="A9" i="622"/>
  <c r="E10" i="622" s="1"/>
  <c r="M4" i="622" s="1"/>
  <c r="K7" i="621"/>
  <c r="K11" i="621" s="1"/>
  <c r="D13" i="621"/>
  <c r="E13" i="621"/>
  <c r="L7" i="621"/>
  <c r="A39" i="751" l="1"/>
  <c r="B38" i="751"/>
  <c r="B88" i="751"/>
  <c r="A89" i="751"/>
  <c r="N4" i="622"/>
  <c r="O4" i="622" s="1"/>
  <c r="F11" i="622"/>
  <c r="G12" i="622"/>
  <c r="G31" i="621"/>
  <c r="N27" i="621"/>
  <c r="O27" i="621" s="1"/>
  <c r="F50" i="621"/>
  <c r="M46" i="621"/>
  <c r="F32" i="621"/>
  <c r="A10" i="622"/>
  <c r="E11" i="622" s="1"/>
  <c r="M7" i="621"/>
  <c r="L8" i="621"/>
  <c r="L11" i="621" s="1"/>
  <c r="D14" i="621"/>
  <c r="K8" i="621"/>
  <c r="E14" i="621"/>
  <c r="B89" i="751" l="1"/>
  <c r="A90" i="751"/>
  <c r="A40" i="751"/>
  <c r="B39" i="751"/>
  <c r="F12" i="622"/>
  <c r="G13" i="622"/>
  <c r="F51" i="621"/>
  <c r="F33" i="621"/>
  <c r="O46" i="621"/>
  <c r="G32" i="621"/>
  <c r="A11" i="622"/>
  <c r="E12" i="622" s="1"/>
  <c r="E15" i="621"/>
  <c r="D15" i="621"/>
  <c r="M11" i="621"/>
  <c r="M8" i="621"/>
  <c r="A41" i="751" l="1"/>
  <c r="B40" i="751"/>
  <c r="B90" i="751"/>
  <c r="A91" i="751"/>
  <c r="G14" i="622"/>
  <c r="I12" i="622" s="1"/>
  <c r="F13" i="622"/>
  <c r="F34" i="621"/>
  <c r="F52" i="621"/>
  <c r="G33" i="621"/>
  <c r="A12" i="622"/>
  <c r="E13" i="622" s="1"/>
  <c r="D16" i="621"/>
  <c r="E16" i="621"/>
  <c r="B91" i="751" l="1"/>
  <c r="A92" i="751"/>
  <c r="A42" i="751"/>
  <c r="B41" i="751"/>
  <c r="I13" i="622"/>
  <c r="F14" i="622"/>
  <c r="H13" i="622" s="1"/>
  <c r="N6" i="622"/>
  <c r="I4" i="622"/>
  <c r="I5" i="622"/>
  <c r="I14" i="622"/>
  <c r="I6" i="622"/>
  <c r="I7" i="622"/>
  <c r="I8" i="622"/>
  <c r="I9" i="622"/>
  <c r="I10" i="622"/>
  <c r="I11" i="622"/>
  <c r="F53" i="621"/>
  <c r="G34" i="621"/>
  <c r="F35" i="621"/>
  <c r="H34" i="621" s="1"/>
  <c r="A13" i="622"/>
  <c r="E14" i="622" s="1"/>
  <c r="E17" i="621"/>
  <c r="G16" i="621" s="1"/>
  <c r="D17" i="621"/>
  <c r="F9" i="621" s="1"/>
  <c r="A43" i="751" l="1"/>
  <c r="B42" i="751"/>
  <c r="B92" i="751"/>
  <c r="A93" i="751"/>
  <c r="N5" i="622"/>
  <c r="B4" i="744"/>
  <c r="H11" i="622"/>
  <c r="H12" i="622"/>
  <c r="J12" i="622" s="1"/>
  <c r="N8" i="622"/>
  <c r="M6" i="622"/>
  <c r="B3" i="744" s="1"/>
  <c r="H14" i="622"/>
  <c r="J14" i="622" s="1"/>
  <c r="H4" i="622"/>
  <c r="H5" i="622"/>
  <c r="H6" i="622"/>
  <c r="H7" i="622"/>
  <c r="H8" i="622"/>
  <c r="H9" i="622"/>
  <c r="H10" i="622"/>
  <c r="G35" i="621"/>
  <c r="I34" i="621" s="1"/>
  <c r="M29" i="621"/>
  <c r="H26" i="621"/>
  <c r="H35" i="621"/>
  <c r="H25" i="621"/>
  <c r="H27" i="621"/>
  <c r="H28" i="621"/>
  <c r="H29" i="621"/>
  <c r="H30" i="621"/>
  <c r="H31" i="621"/>
  <c r="H32" i="621"/>
  <c r="H33" i="621"/>
  <c r="F54" i="621"/>
  <c r="H53" i="621" s="1"/>
  <c r="F17" i="621"/>
  <c r="F8" i="621"/>
  <c r="F7" i="621"/>
  <c r="F10" i="621"/>
  <c r="F11" i="621"/>
  <c r="F12" i="621"/>
  <c r="F13" i="621"/>
  <c r="F14" i="621"/>
  <c r="F15" i="621"/>
  <c r="G8" i="621"/>
  <c r="G7" i="621"/>
  <c r="G17" i="621"/>
  <c r="G9" i="621"/>
  <c r="G10" i="621"/>
  <c r="G11" i="621"/>
  <c r="G12" i="621"/>
  <c r="G13" i="621"/>
  <c r="G14" i="621"/>
  <c r="G15" i="621"/>
  <c r="F16" i="621"/>
  <c r="B93" i="751" l="1"/>
  <c r="A94" i="751"/>
  <c r="A44" i="751"/>
  <c r="B43" i="751"/>
  <c r="J34" i="621"/>
  <c r="J9" i="622"/>
  <c r="J11" i="622"/>
  <c r="H16" i="621"/>
  <c r="J5" i="622"/>
  <c r="J13" i="622"/>
  <c r="J4" i="622"/>
  <c r="J10" i="622"/>
  <c r="J6" i="622"/>
  <c r="J7" i="622"/>
  <c r="J8" i="622"/>
  <c r="M5" i="622"/>
  <c r="O5" i="622" s="1"/>
  <c r="O6" i="622"/>
  <c r="O8" i="622" s="1"/>
  <c r="M8" i="622"/>
  <c r="M28" i="621"/>
  <c r="M31" i="621"/>
  <c r="M48" i="621"/>
  <c r="H54" i="621"/>
  <c r="J54" i="621" s="1"/>
  <c r="H44" i="621"/>
  <c r="H45" i="621"/>
  <c r="H46" i="621"/>
  <c r="H47" i="621"/>
  <c r="H48" i="621"/>
  <c r="H49" i="621"/>
  <c r="H50" i="621"/>
  <c r="H51" i="621"/>
  <c r="H52" i="621"/>
  <c r="J52" i="621" s="1"/>
  <c r="I35" i="621"/>
  <c r="J35" i="621" s="1"/>
  <c r="N29" i="621"/>
  <c r="N28" i="621" s="1"/>
  <c r="I25" i="621"/>
  <c r="J25" i="621" s="1"/>
  <c r="I26" i="621"/>
  <c r="J26" i="621" s="1"/>
  <c r="I27" i="621"/>
  <c r="J27" i="621" s="1"/>
  <c r="I28" i="621"/>
  <c r="J28" i="621" s="1"/>
  <c r="I29" i="621"/>
  <c r="J29" i="621" s="1"/>
  <c r="I30" i="621"/>
  <c r="J30" i="621" s="1"/>
  <c r="I31" i="621"/>
  <c r="J31" i="621" s="1"/>
  <c r="I32" i="621"/>
  <c r="J32" i="621" s="1"/>
  <c r="I33" i="621"/>
  <c r="J33" i="621" s="1"/>
  <c r="H12" i="621"/>
  <c r="H7" i="621"/>
  <c r="H15" i="621"/>
  <c r="H11" i="621"/>
  <c r="H8" i="621"/>
  <c r="H14" i="621"/>
  <c r="H10" i="621"/>
  <c r="H17" i="621"/>
  <c r="H13" i="621"/>
  <c r="H9" i="621"/>
  <c r="A45" i="751" l="1"/>
  <c r="B44" i="751"/>
  <c r="B94" i="751"/>
  <c r="A95" i="751"/>
  <c r="J49" i="621"/>
  <c r="J36" i="621"/>
  <c r="J48" i="621"/>
  <c r="J44" i="621"/>
  <c r="J15" i="622"/>
  <c r="J45" i="621"/>
  <c r="N31" i="621"/>
  <c r="O28" i="621"/>
  <c r="J47" i="621"/>
  <c r="J51" i="621"/>
  <c r="O29" i="621"/>
  <c r="O31" i="621" s="1"/>
  <c r="J50" i="621"/>
  <c r="J46" i="621"/>
  <c r="O48" i="621"/>
  <c r="O50" i="621" s="1"/>
  <c r="M47" i="621"/>
  <c r="O47" i="621" s="1"/>
  <c r="M50" i="621"/>
  <c r="J53" i="621"/>
  <c r="H18" i="621"/>
  <c r="B5" i="744" s="1"/>
  <c r="B95" i="751" l="1"/>
  <c r="A96" i="751"/>
  <c r="A46" i="751"/>
  <c r="B45" i="751"/>
  <c r="B7" i="744"/>
  <c r="B8" i="744"/>
  <c r="B6" i="744"/>
  <c r="B9" i="744" s="1"/>
  <c r="B13" i="744" s="1"/>
  <c r="J55" i="621"/>
  <c r="A47" i="751" l="1"/>
  <c r="B46" i="751"/>
  <c r="B96" i="751"/>
  <c r="A97" i="751"/>
  <c r="B12" i="744"/>
  <c r="B97" i="751" l="1"/>
  <c r="A98" i="751"/>
  <c r="A48" i="751"/>
  <c r="B47" i="751"/>
  <c r="C26" i="553"/>
  <c r="B98" i="751" l="1"/>
  <c r="A99" i="751"/>
  <c r="A49" i="751"/>
  <c r="B48" i="751"/>
  <c r="E3" i="557"/>
  <c r="B3" i="557"/>
  <c r="A50" i="751" l="1"/>
  <c r="B49" i="751"/>
  <c r="B99" i="751"/>
  <c r="A100" i="751"/>
  <c r="J6" i="12"/>
  <c r="A51" i="751" l="1"/>
  <c r="B50" i="751"/>
  <c r="B100" i="751"/>
  <c r="A101" i="751"/>
  <c r="A24" i="553"/>
  <c r="B101" i="751" l="1"/>
  <c r="A102" i="751"/>
  <c r="A52" i="751"/>
  <c r="B51" i="751"/>
  <c r="C24" i="553"/>
  <c r="A53" i="751" l="1"/>
  <c r="B53" i="751" s="1"/>
  <c r="B52" i="751"/>
  <c r="B102" i="751"/>
  <c r="A103" i="751"/>
  <c r="E24" i="553"/>
  <c r="B103" i="751" l="1"/>
  <c r="A104" i="751"/>
  <c r="B104" i="751" s="1"/>
  <c r="F22" i="483"/>
  <c r="E22" i="483"/>
  <c r="F21" i="483"/>
  <c r="E21" i="483"/>
  <c r="G23" i="22" l="1"/>
  <c r="G24" i="22" s="1"/>
  <c r="H23" i="22"/>
  <c r="H24" i="22" s="1"/>
  <c r="G25" i="22"/>
  <c r="H25" i="22"/>
  <c r="G27" i="22"/>
  <c r="H27" i="22"/>
  <c r="F27" i="22"/>
  <c r="F25" i="22"/>
  <c r="F23" i="22"/>
  <c r="F26" i="22" s="1"/>
  <c r="O6" i="12"/>
  <c r="O7" i="12"/>
  <c r="O8" i="12"/>
  <c r="O9" i="12"/>
  <c r="O10" i="12"/>
  <c r="O11" i="12"/>
  <c r="O12" i="12"/>
  <c r="O13" i="12"/>
  <c r="O15" i="12"/>
  <c r="O16" i="12"/>
  <c r="O17" i="12"/>
  <c r="O18" i="12"/>
  <c r="O19" i="12"/>
  <c r="O20" i="12"/>
  <c r="O21" i="12"/>
  <c r="N21" i="12"/>
  <c r="N20" i="12"/>
  <c r="N19" i="12"/>
  <c r="N18" i="12"/>
  <c r="N17" i="12"/>
  <c r="N16" i="12"/>
  <c r="N15" i="12"/>
  <c r="N13" i="12"/>
  <c r="N12" i="12"/>
  <c r="N11" i="12"/>
  <c r="N10" i="12"/>
  <c r="N9" i="12"/>
  <c r="N8" i="12"/>
  <c r="N7" i="12"/>
  <c r="N6" i="12"/>
  <c r="O5" i="12"/>
  <c r="N5" i="12"/>
  <c r="P21" i="11"/>
  <c r="P20" i="11"/>
  <c r="O21" i="11"/>
  <c r="O20" i="11"/>
  <c r="G26" i="22" l="1"/>
  <c r="F24" i="22"/>
  <c r="O14" i="12"/>
  <c r="H26" i="22"/>
  <c r="N14" i="12"/>
  <c r="S33" i="15" l="1"/>
  <c r="Q32" i="15"/>
  <c r="Q31" i="15" s="1"/>
  <c r="Q30" i="15" l="1"/>
  <c r="S31" i="15"/>
  <c r="S32" i="15"/>
  <c r="Q29" i="15" l="1"/>
  <c r="S30" i="15"/>
  <c r="R31" i="15" s="1"/>
  <c r="R32" i="15"/>
  <c r="R33" i="15"/>
  <c r="Q28" i="15" l="1"/>
  <c r="S29" i="15"/>
  <c r="R30" i="15" s="1"/>
  <c r="I24" i="488"/>
  <c r="H24" i="488"/>
  <c r="G24" i="488"/>
  <c r="F24" i="488"/>
  <c r="I22" i="488"/>
  <c r="H22" i="488"/>
  <c r="G22" i="488"/>
  <c r="F22" i="488"/>
  <c r="I21" i="488"/>
  <c r="H21" i="488"/>
  <c r="G21" i="488"/>
  <c r="F21" i="488"/>
  <c r="I19" i="488"/>
  <c r="H19" i="488"/>
  <c r="G19" i="488"/>
  <c r="F19" i="488"/>
  <c r="I18" i="488"/>
  <c r="H18" i="488"/>
  <c r="G18" i="488"/>
  <c r="F18" i="488"/>
  <c r="I17" i="488"/>
  <c r="H17" i="488"/>
  <c r="G17" i="488"/>
  <c r="F17" i="488"/>
  <c r="I16" i="488"/>
  <c r="H16" i="488"/>
  <c r="G16" i="488"/>
  <c r="F16" i="488"/>
  <c r="Q27" i="15" l="1"/>
  <c r="S28" i="15"/>
  <c r="R29" i="15" s="1"/>
  <c r="Q26" i="15" l="1"/>
  <c r="S27" i="15"/>
  <c r="R27" i="15" s="1"/>
  <c r="R28" i="15" l="1"/>
  <c r="O5" i="484" l="1"/>
  <c r="O6" i="484"/>
  <c r="O7" i="484"/>
  <c r="O8" i="484"/>
  <c r="O4" i="484"/>
  <c r="N4" i="484"/>
  <c r="N5" i="484"/>
  <c r="N6" i="484"/>
  <c r="N7" i="484"/>
  <c r="N8" i="484"/>
  <c r="J11" i="484" l="1"/>
  <c r="K11" i="484"/>
  <c r="J10" i="484"/>
  <c r="K10" i="484"/>
  <c r="K4" i="484"/>
  <c r="J4" i="484"/>
  <c r="I5" i="484"/>
  <c r="K5" i="484" s="1"/>
  <c r="AC4" i="10"/>
  <c r="Z4" i="10"/>
  <c r="AB5" i="10"/>
  <c r="AC5" i="10" s="1"/>
  <c r="Y5" i="10"/>
  <c r="Z5" i="10" s="1"/>
  <c r="W5" i="10"/>
  <c r="W6" i="10"/>
  <c r="W7" i="10"/>
  <c r="W8" i="10"/>
  <c r="W9" i="10"/>
  <c r="W10" i="10"/>
  <c r="W11" i="10"/>
  <c r="W12" i="10"/>
  <c r="W13" i="10"/>
  <c r="W14" i="10"/>
  <c r="W15" i="10"/>
  <c r="W4" i="10"/>
  <c r="V4" i="10"/>
  <c r="U4" i="10"/>
  <c r="V5" i="10"/>
  <c r="V6" i="10"/>
  <c r="V7" i="10"/>
  <c r="V8" i="10"/>
  <c r="V9" i="10"/>
  <c r="V10" i="10"/>
  <c r="V11" i="10"/>
  <c r="V12" i="10"/>
  <c r="V13" i="10"/>
  <c r="V14" i="10"/>
  <c r="V15" i="10"/>
  <c r="U5" i="10"/>
  <c r="U6" i="10"/>
  <c r="U7" i="10"/>
  <c r="U8" i="10"/>
  <c r="U9" i="10"/>
  <c r="U10" i="10"/>
  <c r="U11" i="10"/>
  <c r="U12" i="10"/>
  <c r="U13" i="10"/>
  <c r="U14" i="10"/>
  <c r="U15" i="10"/>
  <c r="J5" i="484" l="1"/>
  <c r="I6" i="484"/>
  <c r="I7" i="484" s="1"/>
  <c r="I8" i="484" s="1"/>
  <c r="J8" i="484" s="1"/>
  <c r="AB6" i="10"/>
  <c r="Y6" i="10"/>
  <c r="Y7" i="10" s="1"/>
  <c r="Y8" i="10" s="1"/>
  <c r="Y9" i="10" s="1"/>
  <c r="Y10" i="10" s="1"/>
  <c r="Y11" i="10" s="1"/>
  <c r="Y12" i="10" s="1"/>
  <c r="Y13" i="10" s="1"/>
  <c r="Z13" i="10" s="1"/>
  <c r="G4" i="484"/>
  <c r="G5" i="484"/>
  <c r="G6" i="484"/>
  <c r="G7" i="484"/>
  <c r="G3" i="484"/>
  <c r="F3" i="484"/>
  <c r="F4" i="484"/>
  <c r="F5" i="484"/>
  <c r="F6" i="484"/>
  <c r="F7" i="484"/>
  <c r="C19" i="484"/>
  <c r="B20" i="484"/>
  <c r="C20" i="484" s="1"/>
  <c r="C10" i="484"/>
  <c r="C9" i="484"/>
  <c r="C12" i="484"/>
  <c r="B13" i="484"/>
  <c r="C13" i="484" s="1"/>
  <c r="E4" i="485"/>
  <c r="E3" i="485"/>
  <c r="E10" i="485" s="1"/>
  <c r="J7" i="484" l="1"/>
  <c r="J6" i="484"/>
  <c r="K6" i="484"/>
  <c r="K7" i="484"/>
  <c r="Z12" i="10"/>
  <c r="K8" i="484"/>
  <c r="Z6" i="10"/>
  <c r="AB7" i="10"/>
  <c r="AC6" i="10"/>
  <c r="Z7" i="10"/>
  <c r="Z9" i="10"/>
  <c r="Z10" i="10"/>
  <c r="Z11" i="10"/>
  <c r="Y14" i="10"/>
  <c r="Z14" i="10" s="1"/>
  <c r="Z8" i="10"/>
  <c r="B21" i="484"/>
  <c r="B14" i="484"/>
  <c r="E17" i="483"/>
  <c r="E16" i="483"/>
  <c r="E12" i="483"/>
  <c r="B22" i="483"/>
  <c r="B20" i="483"/>
  <c r="B18" i="483"/>
  <c r="B17" i="483"/>
  <c r="B15" i="483"/>
  <c r="B14" i="483"/>
  <c r="B12" i="483"/>
  <c r="AB8" i="10" l="1"/>
  <c r="AC7" i="10"/>
  <c r="B22" i="484"/>
  <c r="C21" i="484"/>
  <c r="B15" i="484"/>
  <c r="C14" i="484"/>
  <c r="I15" i="482"/>
  <c r="I13" i="482"/>
  <c r="H15" i="482"/>
  <c r="G15" i="482"/>
  <c r="H13" i="482"/>
  <c r="G13" i="482"/>
  <c r="D21" i="482" a="1"/>
  <c r="D22" i="482" s="1"/>
  <c r="B21" i="482" a="1"/>
  <c r="B22" i="482" s="1"/>
  <c r="C21" i="482" a="1"/>
  <c r="C22" i="482" s="1"/>
  <c r="C19" i="482"/>
  <c r="D19" i="482"/>
  <c r="B19" i="482"/>
  <c r="C17" i="482"/>
  <c r="D17" i="482"/>
  <c r="B17" i="482"/>
  <c r="C15" i="482"/>
  <c r="D15" i="482"/>
  <c r="B15" i="482"/>
  <c r="C13" i="482"/>
  <c r="D13" i="482"/>
  <c r="B13" i="482"/>
  <c r="AB9" i="10" l="1"/>
  <c r="AC8" i="10"/>
  <c r="C22" i="484"/>
  <c r="B23" i="484"/>
  <c r="C23" i="484" s="1"/>
  <c r="B16" i="484"/>
  <c r="C16" i="484" s="1"/>
  <c r="C15" i="484"/>
  <c r="C21" i="482"/>
  <c r="B21" i="482"/>
  <c r="D21" i="482"/>
  <c r="A23" i="481"/>
  <c r="A24" i="481" s="1"/>
  <c r="A25" i="481" s="1"/>
  <c r="A26" i="481" s="1"/>
  <c r="A27" i="481" s="1"/>
  <c r="A28" i="481" s="1"/>
  <c r="A29" i="481" s="1"/>
  <c r="A30" i="481" s="1"/>
  <c r="A31" i="481" s="1"/>
  <c r="A5" i="481"/>
  <c r="A6" i="481" s="1"/>
  <c r="A7" i="481" s="1"/>
  <c r="A8" i="481" s="1"/>
  <c r="A9" i="481" s="1"/>
  <c r="A10" i="481" s="1"/>
  <c r="A11" i="481" s="1"/>
  <c r="A12" i="481" s="1"/>
  <c r="A13" i="481" s="1"/>
  <c r="AB10" i="10" l="1"/>
  <c r="AC9" i="10"/>
  <c r="AB11" i="10" l="1"/>
  <c r="AC10" i="10"/>
  <c r="AB12" i="10" l="1"/>
  <c r="AC11" i="10"/>
  <c r="AB13" i="10" l="1"/>
  <c r="AC12" i="10"/>
  <c r="AB14" i="10" l="1"/>
  <c r="AC14" i="10" s="1"/>
  <c r="AC13" i="10"/>
  <c r="Q14" i="15" l="1"/>
  <c r="S14" i="15" s="1"/>
  <c r="Q13" i="15" l="1"/>
  <c r="R9" i="7"/>
  <c r="R7" i="7"/>
  <c r="R6" i="7"/>
  <c r="R10" i="7"/>
  <c r="R8" i="7"/>
  <c r="U17" i="368"/>
  <c r="U19" i="368" s="1"/>
  <c r="U16" i="368"/>
  <c r="U15" i="368"/>
  <c r="U14" i="368"/>
  <c r="U8" i="368"/>
  <c r="U13" i="368" l="1"/>
  <c r="U5" i="368"/>
  <c r="U20" i="368" s="1"/>
  <c r="S13" i="15"/>
  <c r="Q12" i="15"/>
  <c r="R11" i="7"/>
  <c r="S10" i="7" s="1"/>
  <c r="U18" i="368" a="1"/>
  <c r="U18" i="368" s="1"/>
  <c r="M17" i="368"/>
  <c r="M19" i="368" s="1"/>
  <c r="M16" i="368"/>
  <c r="M15" i="368"/>
  <c r="M14" i="368"/>
  <c r="M8" i="368"/>
  <c r="U10" i="368" l="1"/>
  <c r="S12" i="15"/>
  <c r="Q11" i="15"/>
  <c r="R14" i="15"/>
  <c r="S9" i="7"/>
  <c r="S6" i="7"/>
  <c r="S8" i="7"/>
  <c r="S7" i="7"/>
  <c r="M18" i="368" a="1"/>
  <c r="M18" i="368" s="1"/>
  <c r="M13" i="368"/>
  <c r="M5" i="368"/>
  <c r="Q10" i="15" l="1"/>
  <c r="S11" i="15"/>
  <c r="R13" i="15"/>
  <c r="U9" i="368"/>
  <c r="U11" i="368"/>
  <c r="S11" i="7"/>
  <c r="M10" i="368"/>
  <c r="M9" i="368" s="1"/>
  <c r="M20" i="368"/>
  <c r="Q9" i="15" l="1"/>
  <c r="S10" i="15"/>
  <c r="R12" i="15"/>
  <c r="U6" i="368"/>
  <c r="U12" i="368"/>
  <c r="M6" i="368"/>
  <c r="M12" i="368"/>
  <c r="M11" i="368"/>
  <c r="Q8" i="15" l="1"/>
  <c r="S9" i="15"/>
  <c r="R9" i="15" s="1"/>
  <c r="R11" i="15"/>
  <c r="R10" i="15" l="1"/>
  <c r="B20" i="8" l="1"/>
  <c r="B4" i="377" l="1"/>
  <c r="B5" i="377" s="1"/>
  <c r="B6" i="377" s="1"/>
  <c r="B7" i="377" s="1"/>
  <c r="C38" i="368" l="1"/>
  <c r="B38" i="368"/>
  <c r="A38" i="368"/>
  <c r="A37" i="368"/>
  <c r="C27" i="368"/>
  <c r="C28" i="368" s="1"/>
  <c r="C29" i="368" s="1"/>
  <c r="C30" i="368" s="1"/>
  <c r="C31" i="368" s="1"/>
  <c r="C32" i="368" s="1"/>
  <c r="G6" i="368"/>
  <c r="F7" i="368" s="1"/>
  <c r="E6" i="368"/>
  <c r="C6" i="368"/>
  <c r="C7" i="368" s="1"/>
  <c r="C8" i="368" s="1"/>
  <c r="C9" i="368" s="1"/>
  <c r="C10" i="368" s="1"/>
  <c r="C11" i="368" s="1"/>
  <c r="C12" i="368" s="1"/>
  <c r="E5" i="368"/>
  <c r="G7" i="368" l="1"/>
  <c r="F8" i="368" s="1"/>
  <c r="E7" i="368"/>
  <c r="B39" i="368"/>
  <c r="A39" i="368"/>
  <c r="E8" i="368" l="1"/>
  <c r="G8" i="368"/>
  <c r="F9" i="368" s="1"/>
  <c r="C39" i="368"/>
  <c r="G9" i="368" l="1"/>
  <c r="F10" i="368" s="1"/>
  <c r="E9" i="368"/>
  <c r="B40" i="368"/>
  <c r="A40" i="368"/>
  <c r="E10" i="368" l="1"/>
  <c r="G10" i="368"/>
  <c r="F11" i="368" s="1"/>
  <c r="G11" i="368" s="1"/>
  <c r="C40" i="368"/>
  <c r="B41" i="368" l="1"/>
  <c r="C41" i="368"/>
  <c r="C42" i="368" s="1"/>
  <c r="E11" i="368"/>
  <c r="E12" i="368" s="1"/>
  <c r="F12" i="368"/>
  <c r="G12" i="368"/>
  <c r="A41" i="368"/>
  <c r="B42" i="368" l="1"/>
  <c r="E13" i="368"/>
  <c r="F13" i="368"/>
  <c r="G13" i="368" s="1"/>
  <c r="A42" i="368"/>
  <c r="B43" i="368" l="1"/>
  <c r="F14" i="368"/>
  <c r="G14" i="368" s="1"/>
  <c r="E14" i="368"/>
  <c r="E15" i="368" l="1"/>
  <c r="G15" i="368"/>
  <c r="F15" i="368"/>
  <c r="C43" i="368"/>
  <c r="A43" i="368"/>
  <c r="B44" i="368" l="1"/>
  <c r="C44" i="368"/>
  <c r="F16" i="368"/>
  <c r="G16" i="368"/>
  <c r="E16" i="368"/>
  <c r="A44" i="368"/>
  <c r="B45" i="368" l="1"/>
  <c r="G17" i="368"/>
  <c r="E17" i="368"/>
  <c r="F17" i="368"/>
  <c r="F18" i="368" l="1"/>
  <c r="G18" i="368" s="1"/>
  <c r="E18" i="368"/>
  <c r="A45" i="368"/>
  <c r="C45" i="368"/>
  <c r="B46" i="368" l="1"/>
  <c r="E19" i="368"/>
  <c r="G19" i="368"/>
  <c r="F19" i="368"/>
  <c r="A46" i="368"/>
  <c r="F20" i="368" l="1"/>
  <c r="G20" i="368"/>
  <c r="E20" i="368"/>
  <c r="C46" i="368"/>
  <c r="B47" i="368" l="1"/>
  <c r="C47" i="368"/>
  <c r="A47" i="368"/>
  <c r="B48" i="368" l="1"/>
  <c r="C48" i="368"/>
  <c r="A48" i="368"/>
  <c r="C49" i="368" l="1"/>
  <c r="B49" i="368"/>
  <c r="A49" i="368"/>
  <c r="B50" i="368" l="1"/>
  <c r="A50" i="368"/>
  <c r="J9" i="7" l="1"/>
  <c r="K8" i="7" s="1"/>
  <c r="C50" i="368"/>
  <c r="C51" i="368" l="1"/>
  <c r="C52" i="368" s="1"/>
  <c r="B51" i="368"/>
  <c r="K6" i="7"/>
  <c r="K4" i="7"/>
  <c r="K5" i="7"/>
  <c r="K7" i="7"/>
  <c r="A51" i="368"/>
  <c r="B52" i="368" l="1"/>
  <c r="A52" i="368"/>
  <c r="F14" i="9" l="1"/>
  <c r="C14" i="9"/>
  <c r="B14" i="9"/>
  <c r="B24" i="8"/>
  <c r="B22" i="8"/>
  <c r="B23" i="8" s="1"/>
  <c r="H8" i="22" l="1"/>
  <c r="G8" i="22"/>
  <c r="F8" i="22"/>
  <c r="H6" i="22"/>
  <c r="G6" i="22"/>
  <c r="F6" i="22"/>
  <c r="H4" i="22"/>
  <c r="H7" i="22" s="1"/>
  <c r="G4" i="22"/>
  <c r="G5" i="22" s="1"/>
  <c r="F4" i="22"/>
  <c r="F7" i="22" s="1"/>
  <c r="M4" i="21"/>
  <c r="M5" i="21" s="1"/>
  <c r="N4" i="21"/>
  <c r="N5" i="21" s="1"/>
  <c r="M6" i="21"/>
  <c r="N6" i="21"/>
  <c r="M7" i="21"/>
  <c r="N7" i="21"/>
  <c r="M8" i="21"/>
  <c r="N8" i="21"/>
  <c r="L8" i="21"/>
  <c r="L7" i="21"/>
  <c r="L6" i="21"/>
  <c r="L4" i="21"/>
  <c r="L5" i="21" s="1"/>
  <c r="H8" i="21"/>
  <c r="G8" i="21"/>
  <c r="F8" i="21"/>
  <c r="H7" i="21"/>
  <c r="G7" i="21"/>
  <c r="F7" i="21"/>
  <c r="H6" i="21"/>
  <c r="G6" i="21"/>
  <c r="F6" i="21"/>
  <c r="H4" i="21"/>
  <c r="H5" i="21" s="1"/>
  <c r="G4" i="21"/>
  <c r="G5" i="21" s="1"/>
  <c r="F4" i="21"/>
  <c r="F5" i="21" s="1"/>
  <c r="E4" i="15" a="1"/>
  <c r="E7" i="15" s="1"/>
  <c r="O6" i="13"/>
  <c r="S8" i="13"/>
  <c r="R14" i="13" s="1"/>
  <c r="G8" i="13"/>
  <c r="D15" i="13" s="1"/>
  <c r="T7" i="13"/>
  <c r="V7" i="13" s="1"/>
  <c r="I7" i="13"/>
  <c r="H7" i="13"/>
  <c r="T6" i="13"/>
  <c r="V6" i="13" s="1"/>
  <c r="I6" i="13"/>
  <c r="H6" i="13"/>
  <c r="T5" i="13"/>
  <c r="V5" i="13" s="1"/>
  <c r="O5" i="13"/>
  <c r="I5" i="13"/>
  <c r="H5" i="13"/>
  <c r="T4" i="13"/>
  <c r="V4" i="13" s="1"/>
  <c r="O4" i="13"/>
  <c r="I4" i="13"/>
  <c r="H4" i="13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G22" i="11"/>
  <c r="L20" i="11"/>
  <c r="G20" i="11"/>
  <c r="L19" i="11"/>
  <c r="G19" i="11"/>
  <c r="L18" i="11"/>
  <c r="G18" i="11"/>
  <c r="L17" i="11"/>
  <c r="G17" i="11"/>
  <c r="L16" i="11"/>
  <c r="G16" i="11"/>
  <c r="L15" i="11"/>
  <c r="G15" i="11"/>
  <c r="L14" i="11"/>
  <c r="G14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L5" i="11"/>
  <c r="G5" i="11"/>
  <c r="F12" i="9"/>
  <c r="D12" i="9" s="1"/>
  <c r="C12" i="9"/>
  <c r="B12" i="9"/>
  <c r="D14" i="9" s="1"/>
  <c r="F15" i="9"/>
  <c r="C15" i="9"/>
  <c r="B15" i="9"/>
  <c r="F13" i="9"/>
  <c r="C13" i="9"/>
  <c r="B13" i="9"/>
  <c r="D13" i="9" l="1"/>
  <c r="I8" i="11"/>
  <c r="I12" i="11"/>
  <c r="I16" i="11"/>
  <c r="I9" i="11"/>
  <c r="I13" i="11"/>
  <c r="I6" i="11"/>
  <c r="I10" i="11"/>
  <c r="I14" i="11"/>
  <c r="I7" i="11"/>
  <c r="I11" i="11"/>
  <c r="I15" i="11"/>
  <c r="C33" i="368"/>
  <c r="G13" i="11"/>
  <c r="G6" i="11"/>
  <c r="K14" i="12"/>
  <c r="R11" i="13"/>
  <c r="H5" i="22"/>
  <c r="L13" i="11"/>
  <c r="J14" i="12"/>
  <c r="D12" i="13"/>
  <c r="E6" i="15"/>
  <c r="F5" i="22"/>
  <c r="V8" i="13"/>
  <c r="Q14" i="13" s="1"/>
  <c r="H8" i="13"/>
  <c r="F11" i="13" s="1"/>
  <c r="U5" i="13"/>
  <c r="E4" i="15"/>
  <c r="E8" i="15"/>
  <c r="D15" i="9"/>
  <c r="I8" i="13"/>
  <c r="F14" i="13" s="1"/>
  <c r="U6" i="13"/>
  <c r="E5" i="15"/>
  <c r="G7" i="22"/>
  <c r="U4" i="13"/>
  <c r="U7" i="13"/>
  <c r="G14" i="13"/>
  <c r="D13" i="13"/>
  <c r="G11" i="13"/>
  <c r="D14" i="13"/>
  <c r="B13" i="8"/>
  <c r="B14" i="8" s="1"/>
  <c r="B15" i="8" s="1"/>
  <c r="B11" i="8"/>
  <c r="B10" i="8"/>
  <c r="B9" i="8"/>
  <c r="H11" i="13" l="1"/>
  <c r="H14" i="13" s="1"/>
  <c r="I14" i="13" s="1"/>
  <c r="G21" i="11"/>
  <c r="B17" i="8"/>
  <c r="B18" i="8" s="1"/>
  <c r="U8" i="13"/>
  <c r="Q11" i="13" s="1"/>
  <c r="S11" i="13" s="1"/>
  <c r="S14" i="13" s="1"/>
  <c r="T14" i="13" s="1"/>
  <c r="D8" i="7"/>
  <c r="D7" i="7"/>
  <c r="D6" i="7"/>
  <c r="D5" i="7"/>
  <c r="D4" i="7"/>
  <c r="A5" i="6"/>
  <c r="C4" i="6"/>
  <c r="C5" i="6" s="1"/>
  <c r="C6" i="6" s="1"/>
  <c r="C7" i="6" s="1"/>
  <c r="C8" i="6" s="1"/>
  <c r="C9" i="6" s="1"/>
  <c r="C10" i="6" s="1"/>
  <c r="C11" i="6" s="1"/>
  <c r="D3" i="5" a="1"/>
  <c r="H4" i="5" s="1"/>
  <c r="A5" i="4"/>
  <c r="A6" i="4" s="1"/>
  <c r="A7" i="4" s="1"/>
  <c r="A8" i="4" s="1"/>
  <c r="A9" i="4" s="1"/>
  <c r="A10" i="4" s="1"/>
  <c r="A11" i="4" s="1"/>
  <c r="A12" i="4" s="1"/>
  <c r="A13" i="4" s="1"/>
  <c r="D4" i="3" a="1"/>
  <c r="D7" i="3" s="1"/>
  <c r="D11" i="2"/>
  <c r="C11" i="2"/>
  <c r="B11" i="2"/>
  <c r="A6" i="6" l="1"/>
  <c r="A7" i="6" s="1"/>
  <c r="A8" i="6" s="1"/>
  <c r="A9" i="6" s="1"/>
  <c r="A10" i="6" s="1"/>
  <c r="A11" i="6" s="1"/>
  <c r="D4" i="5"/>
  <c r="D6" i="3"/>
  <c r="D9" i="7"/>
  <c r="E5" i="7" s="1"/>
  <c r="D4" i="3"/>
  <c r="B19" i="8"/>
  <c r="D5" i="3"/>
  <c r="F3" i="5"/>
  <c r="G3" i="5"/>
  <c r="E4" i="5"/>
  <c r="I4" i="5"/>
  <c r="D3" i="5"/>
  <c r="H3" i="5"/>
  <c r="F4" i="5"/>
  <c r="E3" i="5"/>
  <c r="I3" i="5"/>
  <c r="G4" i="5"/>
  <c r="C15" i="6" l="1"/>
  <c r="C14" i="6"/>
  <c r="C16" i="6"/>
  <c r="E6" i="7"/>
  <c r="E7" i="7"/>
  <c r="E8" i="7"/>
  <c r="E4" i="7"/>
</calcChain>
</file>

<file path=xl/sharedStrings.xml><?xml version="1.0" encoding="utf-8"?>
<sst xmlns="http://schemas.openxmlformats.org/spreadsheetml/2006/main" count="1897" uniqueCount="840">
  <si>
    <t>Table of Contents</t>
  </si>
  <si>
    <t>Results of Marketing Campaign</t>
  </si>
  <si>
    <t>(sales in millions of euros)</t>
  </si>
  <si>
    <t>Brand A</t>
  </si>
  <si>
    <t>Brand B</t>
  </si>
  <si>
    <t>Brand C</t>
  </si>
  <si>
    <t>London</t>
  </si>
  <si>
    <t>Paris</t>
  </si>
  <si>
    <t>Rome</t>
  </si>
  <si>
    <t>Madrid</t>
  </si>
  <si>
    <t>Vienna</t>
  </si>
  <si>
    <t>Berlin</t>
  </si>
  <si>
    <t>Total</t>
  </si>
  <si>
    <t>Average Income by Age</t>
  </si>
  <si>
    <t>Equipment Sales</t>
  </si>
  <si>
    <t>Unit Price</t>
  </si>
  <si>
    <t>Quantity</t>
  </si>
  <si>
    <t>Revenue</t>
  </si>
  <si>
    <t>Desks</t>
  </si>
  <si>
    <t>Lamps</t>
  </si>
  <si>
    <t>Chairs</t>
  </si>
  <si>
    <t>Pen Sets</t>
  </si>
  <si>
    <t>Age</t>
  </si>
  <si>
    <t>Income</t>
  </si>
  <si>
    <t>Transpose</t>
  </si>
  <si>
    <t>Area Code</t>
  </si>
  <si>
    <t>Population</t>
  </si>
  <si>
    <t>Frequency/Distribution Functions</t>
  </si>
  <si>
    <t>x</t>
  </si>
  <si>
    <t>f(x)</t>
  </si>
  <si>
    <t>F(x)</t>
  </si>
  <si>
    <t>Frequency Function</t>
  </si>
  <si>
    <t>f</t>
  </si>
  <si>
    <t>Geometric Mean</t>
  </si>
  <si>
    <t>If you earn 5% interest in year 1, 8% in year 2 and 10% interest in year 3, the average interest is given by the geometric mean</t>
  </si>
  <si>
    <t>Interest - year 1</t>
  </si>
  <si>
    <t>Int1</t>
  </si>
  <si>
    <t>Interest - year 2</t>
  </si>
  <si>
    <t>Int2</t>
  </si>
  <si>
    <t>Interest - year 3</t>
  </si>
  <si>
    <t>Int3</t>
  </si>
  <si>
    <t>Return from year 1</t>
  </si>
  <si>
    <t>= 1 + Int1</t>
  </si>
  <si>
    <t>Return from year 2</t>
  </si>
  <si>
    <t>= 1 + Int2</t>
  </si>
  <si>
    <t>Return from year 3</t>
  </si>
  <si>
    <t>= 1 + Int3</t>
  </si>
  <si>
    <t>Return after year 1</t>
  </si>
  <si>
    <t>= 1 +  Int1</t>
  </si>
  <si>
    <t>Return after year 2</t>
  </si>
  <si>
    <t>= (1 + Int1) * (1 + Int2)</t>
  </si>
  <si>
    <t>Return after year 3</t>
  </si>
  <si>
    <t>= (1 + Int1) * (1 + Int2) * (1 + Int3)</t>
  </si>
  <si>
    <t>Average annual return</t>
  </si>
  <si>
    <t>= SQRT((1 + Int1) * (1 + Int2) * (1 + Int3)) = GEOMEAN(1 + Int1, 1+ Int2, 1 + Int3)</t>
  </si>
  <si>
    <t>Average interest</t>
  </si>
  <si>
    <t>= 1 - Average annual return</t>
  </si>
  <si>
    <t>Total return</t>
  </si>
  <si>
    <t>= (1 + Average Interest) ^ 3 = Return after 3 years as calculated above</t>
  </si>
  <si>
    <t>Combined sample</t>
  </si>
  <si>
    <t>sample 1</t>
  </si>
  <si>
    <t>sample 2</t>
  </si>
  <si>
    <t>combined</t>
  </si>
  <si>
    <t>mean</t>
  </si>
  <si>
    <t>size</t>
  </si>
  <si>
    <t>var</t>
  </si>
  <si>
    <t>stdev</t>
  </si>
  <si>
    <t>Rank and Percentile</t>
  </si>
  <si>
    <t>Point</t>
  </si>
  <si>
    <t>Scores</t>
  </si>
  <si>
    <t>Rank</t>
  </si>
  <si>
    <t>Percent</t>
  </si>
  <si>
    <t>Descriptive Statistics data analysis tool</t>
  </si>
  <si>
    <t>Calculations using Excel functions</t>
  </si>
  <si>
    <t>Calculation of MAD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</si>
  <si>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</si>
  <si>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</si>
  <si>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</si>
  <si>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</si>
  <si>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</si>
  <si>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</si>
  <si>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</si>
  <si>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</si>
  <si>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</si>
  <si>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</si>
  <si>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</si>
  <si>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</si>
  <si>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</si>
  <si>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Geometric mean</t>
  </si>
  <si>
    <t>Harmonic mean</t>
  </si>
  <si>
    <t>Harmonic Mean</t>
  </si>
  <si>
    <t>AAD</t>
  </si>
  <si>
    <t>MAD</t>
  </si>
  <si>
    <t>IQR</t>
  </si>
  <si>
    <t>Descriptive Statistics</t>
  </si>
  <si>
    <t>Two sample example using Descriptive Statistics data analysis tool</t>
  </si>
  <si>
    <t>Sample 1</t>
  </si>
  <si>
    <t>Sample 2</t>
  </si>
  <si>
    <t>Mean and Variance based on Frequency Tables</t>
  </si>
  <si>
    <t>freq</t>
  </si>
  <si>
    <t>fx</t>
  </si>
  <si>
    <r>
      <t>fx</t>
    </r>
    <r>
      <rPr>
        <vertAlign val="superscript"/>
        <sz val="11"/>
        <color theme="1"/>
        <rFont val="Calibri"/>
        <family val="2"/>
        <scheme val="minor"/>
      </rPr>
      <t>2</t>
    </r>
  </si>
  <si>
    <t>lower</t>
  </si>
  <si>
    <t>upper</t>
  </si>
  <si>
    <t>midpt</t>
  </si>
  <si>
    <t>n</t>
  </si>
  <si>
    <t>Frequency</t>
  </si>
  <si>
    <t>Bins</t>
  </si>
  <si>
    <t>over 80</t>
  </si>
  <si>
    <t>Histogram data analysis tool</t>
  </si>
  <si>
    <t>Bin</t>
  </si>
  <si>
    <t>More</t>
  </si>
  <si>
    <t>Power</t>
  </si>
  <si>
    <t>Sample size for t-test (single sample)</t>
  </si>
  <si>
    <t>Alpha</t>
  </si>
  <si>
    <t>Effect Size</t>
  </si>
  <si>
    <t>Conversion from frequency table</t>
  </si>
  <si>
    <t>Frequency Table</t>
  </si>
  <si>
    <t>Raw Data (with duplicates)</t>
  </si>
  <si>
    <t>Score</t>
  </si>
  <si>
    <t>Freq</t>
  </si>
  <si>
    <t>Cum</t>
  </si>
  <si>
    <t>Row</t>
  </si>
  <si>
    <t>Alternative Version</t>
  </si>
  <si>
    <t>Raw Data</t>
  </si>
  <si>
    <t>c</t>
  </si>
  <si>
    <t>d</t>
  </si>
  <si>
    <t>Boxplot (aka box and whiskers plot)</t>
  </si>
  <si>
    <t>Min</t>
  </si>
  <si>
    <t>Q1-Min</t>
  </si>
  <si>
    <t>Med-Q1</t>
  </si>
  <si>
    <t>Q3-Med</t>
  </si>
  <si>
    <t>Max-Q3</t>
  </si>
  <si>
    <t>Boxplot - Alternative Approach</t>
  </si>
  <si>
    <t>Q1</t>
  </si>
  <si>
    <t>k</t>
  </si>
  <si>
    <t>Data</t>
  </si>
  <si>
    <t>Person</t>
  </si>
  <si>
    <t>n1</t>
  </si>
  <si>
    <t>n2</t>
  </si>
  <si>
    <t>p</t>
  </si>
  <si>
    <t>alpha</t>
  </si>
  <si>
    <t>Female</t>
  </si>
  <si>
    <t>Poor</t>
  </si>
  <si>
    <t>Observed</t>
  </si>
  <si>
    <t>Male</t>
  </si>
  <si>
    <t>B</t>
  </si>
  <si>
    <t>C</t>
  </si>
  <si>
    <t>D</t>
  </si>
  <si>
    <t>F</t>
  </si>
  <si>
    <t>Poverty</t>
  </si>
  <si>
    <t>Infant Mort</t>
  </si>
  <si>
    <t>White</t>
  </si>
  <si>
    <t>Crime</t>
  </si>
  <si>
    <t>Doctors</t>
  </si>
  <si>
    <t>Traf Deaths</t>
  </si>
  <si>
    <t>University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</si>
  <si>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</si>
  <si>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</si>
  <si>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</si>
  <si>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</si>
  <si>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</si>
  <si>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</si>
  <si>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</si>
  <si>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</si>
  <si>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</si>
  <si>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</si>
  <si>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</si>
  <si>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</si>
  <si>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</si>
  <si>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</si>
  <si>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</si>
  <si>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</si>
  <si>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</si>
  <si>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</si>
  <si>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</si>
  <si>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State</t>
  </si>
  <si>
    <t>z-crit</t>
  </si>
  <si>
    <t>A</t>
  </si>
  <si>
    <t>count</t>
  </si>
  <si>
    <t>Skewness and Kurtosis</t>
  </si>
  <si>
    <t>SS</t>
  </si>
  <si>
    <t>Sorted</t>
  </si>
  <si>
    <t>Percentile</t>
  </si>
  <si>
    <t>x̄</t>
  </si>
  <si>
    <t>Gender</t>
  </si>
  <si>
    <t>= (1.05)(1.05)(1.1)(1.1)</t>
  </si>
  <si>
    <t>= 1.334025 ^ 0.25 -1</t>
  </si>
  <si>
    <t>= GEOMEAN(1.05,1.05,1.1,1.1) - 1</t>
  </si>
  <si>
    <t>Q3</t>
  </si>
  <si>
    <t>W</t>
  </si>
  <si>
    <t>variance</t>
  </si>
  <si>
    <t>M</t>
  </si>
  <si>
    <t>prob</t>
  </si>
  <si>
    <t>nodupe</t>
  </si>
  <si>
    <t>FREQTABLE function</t>
  </si>
  <si>
    <t>Frequency Table data analysis tool</t>
  </si>
  <si>
    <r>
      <t>x̄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</si>
  <si>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sz val="11"/>
        <color theme="1"/>
        <rFont val="Calibri"/>
        <family val="2"/>
      </rPr>
      <t>Σ</t>
    </r>
    <r>
      <rPr>
        <sz val="11"/>
        <color theme="1"/>
        <rFont val="Calibri"/>
        <family val="2"/>
        <scheme val="minor"/>
      </rPr>
      <t>fx</t>
    </r>
    <r>
      <rPr>
        <vertAlign val="superscript"/>
        <sz val="11"/>
        <color theme="1"/>
        <rFont val="Calibri"/>
        <family val="2"/>
        <scheme val="minor"/>
      </rPr>
      <t>2</t>
    </r>
  </si>
  <si>
    <t>Σfx</t>
  </si>
  <si>
    <t>Jim</t>
  </si>
  <si>
    <t>Mary</t>
  </si>
  <si>
    <t>Dave</t>
  </si>
  <si>
    <t>Bob</t>
  </si>
  <si>
    <t>Jane</t>
  </si>
  <si>
    <t>Boxplot - Approach for Negative Data</t>
  </si>
  <si>
    <t>Probability calculation</t>
  </si>
  <si>
    <t>1-p</t>
  </si>
  <si>
    <t>(1-p)^n</t>
  </si>
  <si>
    <t>1-(1-p)^n</t>
  </si>
  <si>
    <t>J</t>
  </si>
  <si>
    <t>Ranking</t>
  </si>
  <si>
    <r>
      <t>|x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- median(x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)|</t>
    </r>
  </si>
  <si>
    <t>Excel spreadsheets</t>
  </si>
  <si>
    <t>Charts</t>
  </si>
  <si>
    <t>Excel Environment</t>
  </si>
  <si>
    <t>Concise Table of Contents</t>
  </si>
  <si>
    <t>Probability Functions</t>
  </si>
  <si>
    <t>Array formulas and functions</t>
  </si>
  <si>
    <t>Basic probability concepts</t>
  </si>
  <si>
    <t>Discrete probability distributions</t>
  </si>
  <si>
    <t>Measures of central tendency</t>
  </si>
  <si>
    <t>Descriptive statistics tools</t>
  </si>
  <si>
    <t>Sample Excel worksheet (Figure 1)</t>
  </si>
  <si>
    <t>Bar Chart (Example 1)</t>
  </si>
  <si>
    <t>Line Chart (Example 2)</t>
  </si>
  <si>
    <t>Array formula (Example 1)</t>
  </si>
  <si>
    <t>Array function (Example 2)</t>
  </si>
  <si>
    <t>Probability calculation (Example 6)</t>
  </si>
  <si>
    <t>Frequency function (Example 1)</t>
  </si>
  <si>
    <t>Frequency function (Example 2)</t>
  </si>
  <si>
    <t>Measures of variability</t>
  </si>
  <si>
    <t>Chi-square distribution (Figure 1)</t>
  </si>
  <si>
    <t>Kurtosis and skewness (Figure 2)</t>
  </si>
  <si>
    <t>Descriptive Statistics data analysis tool (Example 1)</t>
  </si>
  <si>
    <t>Descriptive Statistics data analysis tool (Example 2)</t>
  </si>
  <si>
    <t>Frequency tables</t>
  </si>
  <si>
    <t>Mean and variance based on frequency tables (Example 1)</t>
  </si>
  <si>
    <t>Calculations from a frequency table with intervals (Example 2)</t>
  </si>
  <si>
    <t>Excel FREQUENCY function (Example 3)</t>
  </si>
  <si>
    <t>Histogram</t>
  </si>
  <si>
    <t>Histogram data analysis tool (Example 1)</t>
  </si>
  <si>
    <t>Box plots</t>
  </si>
  <si>
    <t>Box Plot (Example 1)</t>
  </si>
  <si>
    <t>Hypothesis Testing</t>
  </si>
  <si>
    <t>Statistical power</t>
  </si>
  <si>
    <t>Power table (Figure 1)</t>
  </si>
  <si>
    <t>= GEOMEAN(1.05,1.08,1.1) - 1</t>
  </si>
  <si>
    <t>item</t>
  </si>
  <si>
    <t>Extract Columns from Data Range</t>
  </si>
  <si>
    <t>Input range</t>
  </si>
  <si>
    <t>Reshape</t>
  </si>
  <si>
    <t>Reverse</t>
  </si>
  <si>
    <t>Sort</t>
  </si>
  <si>
    <t>Sort no dupes</t>
  </si>
  <si>
    <t>Index</t>
  </si>
  <si>
    <t>Sample 3</t>
  </si>
  <si>
    <t>Box Plot</t>
  </si>
  <si>
    <t>Real Statistics data analysis tool</t>
  </si>
  <si>
    <t>Sort Rows</t>
  </si>
  <si>
    <t>France</t>
  </si>
  <si>
    <t>UK</t>
  </si>
  <si>
    <t>US</t>
  </si>
  <si>
    <t>Rich</t>
  </si>
  <si>
    <t>=SortRowsUnique(A3:C14)</t>
  </si>
  <si>
    <t>=SortRowsCount(A3:C14)</t>
  </si>
  <si>
    <t>=SortRowsSum(A3:D14,"")</t>
  </si>
  <si>
    <t>Suc-Pred</t>
  </si>
  <si>
    <t>Fail-Pred</t>
  </si>
  <si>
    <t>Classification Table</t>
  </si>
  <si>
    <t>Suc-Obs</t>
  </si>
  <si>
    <t>Fail-Obs</t>
  </si>
  <si>
    <t>Cutoff</t>
  </si>
  <si>
    <t>ROC Table</t>
  </si>
  <si>
    <t>FPR</t>
  </si>
  <si>
    <t>TPR</t>
  </si>
  <si>
    <t>AUC</t>
  </si>
  <si>
    <t>Classification Table (Example 1)</t>
  </si>
  <si>
    <t>Select Columns</t>
  </si>
  <si>
    <t>Sort Rows without duplicates</t>
  </si>
  <si>
    <t>=QSORTRows(T3:W14,4)</t>
  </si>
  <si>
    <t>=SelectCols(A3:D14,"2,3,1")</t>
  </si>
  <si>
    <t>=SelectCols(A3:D14,"3,2,1,4",1)</t>
  </si>
  <si>
    <t>=SortRowsUnique(A3:B14)</t>
  </si>
  <si>
    <t>=CountRowsUnique(A3:B14)</t>
  </si>
  <si>
    <t>Sort and Extract Unique</t>
  </si>
  <si>
    <t>Input Range</t>
  </si>
  <si>
    <t>Germany</t>
  </si>
  <si>
    <t>Italy</t>
  </si>
  <si>
    <t>Russia</t>
  </si>
  <si>
    <t>Spain</t>
  </si>
  <si>
    <t>Sort Unique</t>
  </si>
  <si>
    <t>Extract Unique</t>
  </si>
  <si>
    <t>=QSORTRows(T3:W14)</t>
  </si>
  <si>
    <t>Accuracy</t>
  </si>
  <si>
    <t>Sorting and removing duplicates by rows</t>
  </si>
  <si>
    <t>Extracting columns from a data range</t>
  </si>
  <si>
    <t>cum</t>
  </si>
  <si>
    <t>Bin size</t>
  </si>
  <si>
    <t>Item</t>
  </si>
  <si>
    <t>Using FREQTABLE with bin size 15</t>
  </si>
  <si>
    <t>Using Frequency Table data analysis tool</t>
  </si>
  <si>
    <t>Real Statistics Frequency Table data analysis tool (Example 2)</t>
  </si>
  <si>
    <t>Frequency function using Real Statistics data analysis tool</t>
  </si>
  <si>
    <t>Dosage</t>
  </si>
  <si>
    <t>Rent</t>
  </si>
  <si>
    <t>Average Income and Rent by Age</t>
  </si>
  <si>
    <t>Line Chart (Example 3)</t>
  </si>
  <si>
    <t>Measures of Central Tendency</t>
  </si>
  <si>
    <t>MODE</t>
  </si>
  <si>
    <t>AVERAGE</t>
  </si>
  <si>
    <t>MEDIAN</t>
  </si>
  <si>
    <t>MODE.MULT</t>
  </si>
  <si>
    <t>HARMEAN</t>
  </si>
  <si>
    <t>GEOMEAN</t>
  </si>
  <si>
    <t>Measures of Variability</t>
  </si>
  <si>
    <t>DEVSQ</t>
  </si>
  <si>
    <t>AVEDEV</t>
  </si>
  <si>
    <t>MIN</t>
  </si>
  <si>
    <t>MAX</t>
  </si>
  <si>
    <t>RNG</t>
  </si>
  <si>
    <t>SKEW</t>
  </si>
  <si>
    <t>KURT</t>
  </si>
  <si>
    <t>SMALL</t>
  </si>
  <si>
    <t>LARGE</t>
  </si>
  <si>
    <t>Data analysis tool</t>
  </si>
  <si>
    <t>PERCENTRANK and PERCENTRANK.EXC</t>
  </si>
  <si>
    <t>%-EXC</t>
  </si>
  <si>
    <t>%-INC</t>
  </si>
  <si>
    <t>PERCENTILE</t>
  </si>
  <si>
    <t>PERCENTILE.EXC</t>
  </si>
  <si>
    <t>Skewness and kurtosis (Examples 1, 2)</t>
  </si>
  <si>
    <t>Rank and Percentile data analysis tool (Example 5)</t>
  </si>
  <si>
    <t>PERCENTRANK vs. PERCENTRANK.EXC (Example 7)</t>
  </si>
  <si>
    <t>PERCENTILE vs. PERCENTILE.EXC (Example 9)</t>
  </si>
  <si>
    <t>Various ranking and percentile functions (Examples 1-4, 6, 8, 10)</t>
  </si>
  <si>
    <t>Real Statistics Descriptive Statistics data analysis tool (Example 3)</t>
  </si>
  <si>
    <t>Q-INC</t>
  </si>
  <si>
    <t>Q-EXC</t>
  </si>
  <si>
    <t>Quartile</t>
  </si>
  <si>
    <t>Number of rows without missing data</t>
  </si>
  <si>
    <t>Sort and Filter</t>
  </si>
  <si>
    <t>Betty</t>
  </si>
  <si>
    <t>Steve</t>
  </si>
  <si>
    <t>Sort by Income</t>
  </si>
  <si>
    <t>Remove Duplicates</t>
  </si>
  <si>
    <t>Filter</t>
  </si>
  <si>
    <t>Sorting and Filtering</t>
  </si>
  <si>
    <t>Dealing with missing data</t>
  </si>
  <si>
    <t>Remove missing data (Example 1)</t>
  </si>
  <si>
    <t>Alan</t>
  </si>
  <si>
    <t>Debra</t>
  </si>
  <si>
    <t>Sort by Income/Person</t>
  </si>
  <si>
    <t>Filter (Example 3)</t>
  </si>
  <si>
    <t>Remove Duplicates (Example 2)</t>
  </si>
  <si>
    <t>Sorting (Example 1)</t>
  </si>
  <si>
    <t>and max bin value 100</t>
  </si>
  <si>
    <t>Year</t>
  </si>
  <si>
    <t>data</t>
  </si>
  <si>
    <t>INC</t>
  </si>
  <si>
    <t>EXC</t>
  </si>
  <si>
    <t>Using QUARTILE</t>
  </si>
  <si>
    <t>Using QUARTILE.EXC</t>
  </si>
  <si>
    <t>Outliers and Robustness</t>
  </si>
  <si>
    <t>Trimmed and Winsorized data (Example 1)</t>
  </si>
  <si>
    <t>Trimmed and Winsorized Data</t>
  </si>
  <si>
    <t>Trimmed</t>
  </si>
  <si>
    <t>Winsorized</t>
  </si>
  <si>
    <t>=B4</t>
  </si>
  <si>
    <t>=B5+C4</t>
  </si>
  <si>
    <t>=B6+C5</t>
  </si>
  <si>
    <t>=B7+C6</t>
  </si>
  <si>
    <t>=B8+C7</t>
  </si>
  <si>
    <t>=B9+C8</t>
  </si>
  <si>
    <t>=B10+C9</t>
  </si>
  <si>
    <t>=B11+C10</t>
  </si>
  <si>
    <t>P(3)</t>
  </si>
  <si>
    <t xml:space="preserve">P(x ≤ 5) </t>
  </si>
  <si>
    <r>
      <t xml:space="preserve">P(3 </t>
    </r>
    <r>
      <rPr>
        <sz val="11"/>
        <color theme="1"/>
        <rFont val="Calibri"/>
        <family val="2"/>
      </rPr>
      <t>≤ x ≤ 5)</t>
    </r>
  </si>
  <si>
    <t>=PROB(A4:A11,B4:B11,3,5)</t>
  </si>
  <si>
    <t>=PROB(A4:A11,B4:B11,3)</t>
  </si>
  <si>
    <t>=PROB(A4:A11,B4:B11,,5)</t>
  </si>
  <si>
    <t>Data 1</t>
  </si>
  <si>
    <t>Data 2</t>
  </si>
  <si>
    <t>Data 3</t>
  </si>
  <si>
    <t>Data 4</t>
  </si>
  <si>
    <t>Data 5</t>
  </si>
  <si>
    <t>Data 6</t>
  </si>
  <si>
    <t>VAR.S = VAR</t>
  </si>
  <si>
    <t>VAR.P = VARP</t>
  </si>
  <si>
    <t>STDEV.S = STDEV</t>
  </si>
  <si>
    <t>STDEV.P = STDEVP</t>
  </si>
  <si>
    <t>Descriptive statistics for data in a frequency table (Example 5)</t>
  </si>
  <si>
    <t>Real Statistics Environment</t>
  </si>
  <si>
    <t>Reformatting data</t>
  </si>
  <si>
    <t>Sorting, removing duplicates, etc. (Example 1)</t>
  </si>
  <si>
    <t>Reformat data in a range</t>
  </si>
  <si>
    <t>COUNTU</t>
  </si>
  <si>
    <t>COUNTAU</t>
  </si>
  <si>
    <t>Sort and extract unique (Example 2)</t>
  </si>
  <si>
    <t>Goal Seek</t>
  </si>
  <si>
    <t>Square root example (Example 1)</t>
  </si>
  <si>
    <t>x^2</t>
  </si>
  <si>
    <t>Column means (Example 2)</t>
  </si>
  <si>
    <t>Mean, median, etc. (Examples 1, 3-6)</t>
  </si>
  <si>
    <t>Column variance and standard deviation (Examples 3)</t>
  </si>
  <si>
    <t>ROC</t>
  </si>
  <si>
    <t>ROC and Classification Table</t>
  </si>
  <si>
    <t>Cumulative</t>
  </si>
  <si>
    <t>less than 2.00</t>
  </si>
  <si>
    <t>2.00 - 3.99</t>
  </si>
  <si>
    <t>4.00 - 5.99</t>
  </si>
  <si>
    <t>6.00 - 7.99</t>
  </si>
  <si>
    <t>8.00 - 9.99</t>
  </si>
  <si>
    <t>10.00 - 11.99</t>
  </si>
  <si>
    <t>12.00 - 13.99</t>
  </si>
  <si>
    <t>14.00 - 15.99</t>
  </si>
  <si>
    <t>16.00 -17.99</t>
  </si>
  <si>
    <t>18.00 or more</t>
  </si>
  <si>
    <t>Estimating AUC using rectangles</t>
  </si>
  <si>
    <t>sum</t>
  </si>
  <si>
    <t>Dies</t>
  </si>
  <si>
    <t>Lives</t>
  </si>
  <si>
    <t>Frequency function using Real Statistics function (Example 3)</t>
  </si>
  <si>
    <t>Real Statistics FREQTABLE function (Example 4)</t>
  </si>
  <si>
    <t>Real Statistics Descriptive Statistics</t>
  </si>
  <si>
    <t>Real Statistics - IQR using QUARTILE</t>
  </si>
  <si>
    <t>Real Statistics - IQR using QUARTILE.EXC</t>
  </si>
  <si>
    <t>Using QUARTILE.EXC and Real Statistics data analysis tool</t>
  </si>
  <si>
    <t>MODE.SNGL</t>
  </si>
  <si>
    <t>Unemploy</t>
  </si>
  <si>
    <t>Sort using data analysis tool (Example 3)</t>
  </si>
  <si>
    <t>Miscellaneous Real Statistics Functions</t>
  </si>
  <si>
    <t>Miscellaneous functions</t>
  </si>
  <si>
    <t>Examples of miscellaneous Real Statistics functions</t>
  </si>
  <si>
    <t>Geometric Mean (extra example)</t>
  </si>
  <si>
    <t>Measures of shape</t>
  </si>
  <si>
    <t>PercentRank</t>
  </si>
  <si>
    <t>Real Statistics data analysis tool for obtaining desc stats for frequency table (Example 6)</t>
  </si>
  <si>
    <t>Box Plot (Example 1 using .EXC)</t>
  </si>
  <si>
    <t>Box Plot with negative data</t>
  </si>
  <si>
    <t>Estimating AUC using trapezoids</t>
  </si>
  <si>
    <t>Deleting Missing Data Listwise</t>
  </si>
  <si>
    <t>ROC Plot (Example 2)</t>
  </si>
  <si>
    <t>Classification and ROC data analysis tool (Example 3)</t>
  </si>
  <si>
    <t>Remove missing data via data analysis tool (Example 2)</t>
  </si>
  <si>
    <t>Sort by rows (Example 1)</t>
  </si>
  <si>
    <t>Sort rows removing duplicates (Example 2)</t>
  </si>
  <si>
    <t>Extract columns from data range (Example 1)</t>
  </si>
  <si>
    <t>Select columns from data range (Example 2)</t>
  </si>
  <si>
    <t>q1</t>
  </si>
  <si>
    <t>Scatter Chart (Example 4)</t>
  </si>
  <si>
    <t>Step Chart (Example 5)</t>
  </si>
  <si>
    <t>Duplicated</t>
  </si>
  <si>
    <t>Modified</t>
  </si>
  <si>
    <t>Step Chart</t>
  </si>
  <si>
    <t>Real Statistics Step Chart</t>
  </si>
  <si>
    <t>Area A</t>
  </si>
  <si>
    <t>Area B</t>
  </si>
  <si>
    <t>Area C</t>
  </si>
  <si>
    <t>Step chart</t>
  </si>
  <si>
    <t>KURTP</t>
  </si>
  <si>
    <t>SKEWP</t>
  </si>
  <si>
    <t>Indices of Diversity</t>
  </si>
  <si>
    <t>Shannon's Index of Diversity</t>
  </si>
  <si>
    <t>E</t>
  </si>
  <si>
    <t>log p</t>
  </si>
  <si>
    <t>H'</t>
  </si>
  <si>
    <t>max H'</t>
  </si>
  <si>
    <t>J'</t>
  </si>
  <si>
    <t>Brillouin’s Index of Diversity</t>
  </si>
  <si>
    <t>log freq!</t>
  </si>
  <si>
    <t>log</t>
  </si>
  <si>
    <t>H</t>
  </si>
  <si>
    <t>max H</t>
  </si>
  <si>
    <t>Diversity Indices</t>
  </si>
  <si>
    <t># of elements</t>
  </si>
  <si>
    <t># of categories</t>
  </si>
  <si>
    <t>Shannon</t>
  </si>
  <si>
    <t>Brillouin</t>
  </si>
  <si>
    <t>Simpson</t>
  </si>
  <si>
    <t>Sm Sample</t>
  </si>
  <si>
    <t>diversity index</t>
  </si>
  <si>
    <t>D index</t>
  </si>
  <si>
    <t>max index</t>
  </si>
  <si>
    <t>1-D</t>
  </si>
  <si>
    <t>homogeneity</t>
  </si>
  <si>
    <t>1/D</t>
  </si>
  <si>
    <t>Simpson's Index of Diversity</t>
  </si>
  <si>
    <t>D'</t>
  </si>
  <si>
    <t>1-D'</t>
  </si>
  <si>
    <t>1/D'</t>
  </si>
  <si>
    <t>Shannon's Index (Example 1)</t>
  </si>
  <si>
    <t>Simpson's Index (Example 3)</t>
  </si>
  <si>
    <t>Brillouin's Index (Example 2)</t>
  </si>
  <si>
    <t>Grand Min</t>
  </si>
  <si>
    <t>Box plot with outliers</t>
  </si>
  <si>
    <t>Combining multiple samples</t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</si>
  <si>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</si>
  <si>
    <r>
      <t>x</t>
    </r>
    <r>
      <rPr>
        <sz val="11"/>
        <color theme="1"/>
        <rFont val="Arial Unicode MS"/>
        <family val="2"/>
      </rPr>
      <t>̄</t>
    </r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</si>
  <si>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</si>
  <si>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nx̄</t>
    </r>
    <r>
      <rPr>
        <vertAlign val="superscript"/>
        <sz val="11"/>
        <color theme="1"/>
        <rFont val="Calibri"/>
        <family val="2"/>
        <scheme val="minor"/>
      </rPr>
      <t>2</t>
    </r>
  </si>
  <si>
    <r>
      <t>(n-1)s</t>
    </r>
    <r>
      <rPr>
        <vertAlign val="superscript"/>
        <sz val="11"/>
        <color theme="1"/>
        <rFont val="Calibri"/>
        <family val="2"/>
        <scheme val="minor"/>
      </rPr>
      <t>2</t>
    </r>
  </si>
  <si>
    <t>Combining two samples (Example 4)</t>
  </si>
  <si>
    <t>Combining two or more samples (Example 5)</t>
  </si>
  <si>
    <t>Variance, standard deviation, etc. (Examples 1,2, 6-10)</t>
  </si>
  <si>
    <t>Indentifying Outliers</t>
  </si>
  <si>
    <t>Identifying Outliers</t>
  </si>
  <si>
    <t>Real Statistics RANK_AVG vs. Excel RANK.AVG function</t>
  </si>
  <si>
    <t>Real Statistics RANK_AVG function</t>
  </si>
  <si>
    <t>S1</t>
  </si>
  <si>
    <t>S2</t>
  </si>
  <si>
    <t>S1 - S2</t>
  </si>
  <si>
    <t>RANK.AVG</t>
  </si>
  <si>
    <t>RANK_AVG</t>
  </si>
  <si>
    <t>Max</t>
  </si>
  <si>
    <t>Continuous probability distributions</t>
  </si>
  <si>
    <t>Chi-square cumulative distribution</t>
  </si>
  <si>
    <t>Boxplot with negative data</t>
  </si>
  <si>
    <t>Scatter Plot</t>
  </si>
  <si>
    <t>District</t>
  </si>
  <si>
    <t>Cost</t>
  </si>
  <si>
    <t>NE</t>
  </si>
  <si>
    <t>NW</t>
  </si>
  <si>
    <t>SE</t>
  </si>
  <si>
    <t>SW</t>
  </si>
  <si>
    <t>AUC Confidence Interval</t>
  </si>
  <si>
    <t>q0</t>
  </si>
  <si>
    <t>q2</t>
  </si>
  <si>
    <t>se</t>
  </si>
  <si>
    <t>=NORM.S.INV(1-B10/2)</t>
  </si>
  <si>
    <t>Confidence interval for AUC</t>
  </si>
  <si>
    <t>Outliers</t>
  </si>
  <si>
    <t>Dot Plots</t>
  </si>
  <si>
    <t>Dot Plot</t>
  </si>
  <si>
    <t>Dot Plot (manual)</t>
  </si>
  <si>
    <t>Dot Plot (Real Statistics)</t>
  </si>
  <si>
    <t>Functions, polynomials, limits and graphs</t>
  </si>
  <si>
    <t>Graph of a function (Example 1)</t>
  </si>
  <si>
    <t>Excel Capabilities</t>
  </si>
  <si>
    <t>Built-in functions</t>
  </si>
  <si>
    <t>Unique counting (Figure 7)</t>
  </si>
  <si>
    <t>SUMIF and COUNTIF (Figure 8)</t>
  </si>
  <si>
    <t>Table lookup functions (esp. MATCH)</t>
  </si>
  <si>
    <t>Two-dimensional table lookup</t>
  </si>
  <si>
    <t>Sorting and eliminating duplicates</t>
  </si>
  <si>
    <t>Sort and remove duplicates in standard Excel (Examples 1, 2, 3, 4)</t>
  </si>
  <si>
    <t>Reformatting tools</t>
  </si>
  <si>
    <t>Reformatting (Example 1)</t>
  </si>
  <si>
    <t>Remove missing data (Example 2)</t>
  </si>
  <si>
    <t>Frequency table conversion</t>
  </si>
  <si>
    <t>Descriptive statistics for frequency table (Example 1)</t>
  </si>
  <si>
    <t>Conversion to raw data using Real Statistics data analysis tool (Example 2)</t>
  </si>
  <si>
    <t>Conversion to frequency table</t>
  </si>
  <si>
    <t>Coding of categorical variables</t>
  </si>
  <si>
    <t>Coding of categorical variables (Example 1)</t>
  </si>
  <si>
    <t>Table lookup</t>
  </si>
  <si>
    <t>Table Lookup (Example 1)</t>
  </si>
  <si>
    <t>Table Lookup (Example 2)</t>
  </si>
  <si>
    <t>Table Lookup (Example 3)</t>
  </si>
  <si>
    <t>Table Lookup (Example 4)</t>
  </si>
  <si>
    <t>Sampling</t>
  </si>
  <si>
    <t>Sampling without replacement</t>
  </si>
  <si>
    <t>Sampling with replacement</t>
  </si>
  <si>
    <t>Special charting capabilities</t>
  </si>
  <si>
    <t>Plot of sample means with std error intervals (Example 3)</t>
  </si>
  <si>
    <t>Matrices and Iterative Procedures</t>
  </si>
  <si>
    <t>Basic concepts</t>
  </si>
  <si>
    <t>Length of a vector (Example 2)</t>
  </si>
  <si>
    <t>Diagonal of a square matrix (Example 3)</t>
  </si>
  <si>
    <t>Matrix operations</t>
  </si>
  <si>
    <t>Inverse of a matrix (Example 1)</t>
  </si>
  <si>
    <t>Matrix Power</t>
  </si>
  <si>
    <t>Real Statistics Matrix data analysis tool (Example 2)</t>
  </si>
  <si>
    <t>Determinants and simultaneous linear equations</t>
  </si>
  <si>
    <t>Determinant (Example 1)</t>
  </si>
  <si>
    <t>Determinant using Gaussian elimination (Example 2)</t>
  </si>
  <si>
    <t>Solution to linear equations via Cramer's rule (Example 3)</t>
  </si>
  <si>
    <t>Solution to linear equations via Gaussian elimination (Example 4)</t>
  </si>
  <si>
    <t>Solution to homogeneous linear equations (Example 5)</t>
  </si>
  <si>
    <t>Solution to homogeneous linear equations (Example 6)</t>
  </si>
  <si>
    <t>Inverting a matrix via Gaussian elimination (Example 10)</t>
  </si>
  <si>
    <t>Gaussian elimination via Real Statistics functions (Examples 7,8,9 + extra examples)</t>
  </si>
  <si>
    <t>Newton's method</t>
  </si>
  <si>
    <t>Newton's Method for one equation (Example 1)</t>
  </si>
  <si>
    <t>Newton's Method for multiple equations (Example 2)</t>
  </si>
  <si>
    <t>Newton's Method for one equation (Example 2)</t>
  </si>
  <si>
    <t>Goal seeking and Solver</t>
  </si>
  <si>
    <t>Goal Seek to find eigenvalues (Example 1)</t>
  </si>
  <si>
    <t>Solver to find regression coefficients (Example 2)</t>
  </si>
  <si>
    <t>Gamma function</t>
  </si>
  <si>
    <t>Gamma function with negative values and incomplete gamma function</t>
  </si>
  <si>
    <t>Colors</t>
  </si>
  <si>
    <t>Color list</t>
  </si>
  <si>
    <t>Color functions</t>
  </si>
  <si>
    <t>Appendix</t>
  </si>
  <si>
    <t>Graph of f(x) = x^2</t>
  </si>
  <si>
    <t>Status</t>
  </si>
  <si>
    <t>Sex</t>
  </si>
  <si>
    <t>Married</t>
  </si>
  <si>
    <t>Single</t>
  </si>
  <si>
    <t>Divorced</t>
  </si>
  <si>
    <t>Widowed</t>
  </si>
  <si>
    <t>Salary</t>
  </si>
  <si>
    <t>a</t>
  </si>
  <si>
    <t>g</t>
  </si>
  <si>
    <t>y</t>
  </si>
  <si>
    <t>Z</t>
  </si>
  <si>
    <t>G</t>
  </si>
  <si>
    <t>Symbol</t>
  </si>
  <si>
    <t>@</t>
  </si>
  <si>
    <t>go</t>
  </si>
  <si>
    <t>?</t>
  </si>
  <si>
    <t>Row #</t>
  </si>
  <si>
    <t>%</t>
  </si>
  <si>
    <t>stop</t>
  </si>
  <si>
    <t>z</t>
  </si>
  <si>
    <t>Col #</t>
  </si>
  <si>
    <t>=N16/N17</t>
  </si>
  <si>
    <t>=N9/SQRT(N17)</t>
  </si>
  <si>
    <t>=MEDIAN(Freq2Raw(J6:J12,K6:K12))</t>
  </si>
  <si>
    <t>=IF(COUNTIF(K6:K12,MAX(K6:K12))&gt;1,#N/A,SUMIF(K6:K12,MAX(K6:K12),J6:J12))</t>
  </si>
  <si>
    <t>=SQRT(N10)</t>
  </si>
  <si>
    <t>=SUMPRODUCT((J6:J12-N5)^2,K6:K12)/(N17-1)</t>
  </si>
  <si>
    <t>=N17*(N17+1)*SUMPRODUCT((J6:J12-N5)^4,K6:K12)/((N17-1)*(N17-2)*(N17-3)*N10^2)-3*(N17-1)^2/((N17-2)*(N17-3))</t>
  </si>
  <si>
    <t>=N17*SUMPRODUCT((J6:J12-N5)^3,K6:K12)/((N17-1)*(N17-2)*N9^3)</t>
  </si>
  <si>
    <t>=N14-N15</t>
  </si>
  <si>
    <t>=MAX(J6:J12)</t>
  </si>
  <si>
    <t>=MIN(J6:J12)</t>
  </si>
  <si>
    <t>=SUMPRODUCT(J6:J12,K6:K12)</t>
  </si>
  <si>
    <t>=SUM(K6:K12)</t>
  </si>
  <si>
    <t>=PRODUCT(J6:J12^K6:K12)^(1/N17)</t>
  </si>
  <si>
    <t>=N17/SUMPRODUCT(1/J6:J12*K6:K12)</t>
  </si>
  <si>
    <t>=SUMPRODUCT(ABS(J6:J12-N5),K6:K12)/N17</t>
  </si>
  <si>
    <t>=MAD(Freq2Raw(J6:J12,K6:K12))</t>
  </si>
  <si>
    <t>=IQR(Freq2Raw(J6:J12,K6:K12))</t>
  </si>
  <si>
    <t>FREQTABLE(H3:H17)</t>
  </si>
  <si>
    <t>Real Statistics data analysis tool (using bins)</t>
  </si>
  <si>
    <t>FREQTABLE(H21:35,.15)</t>
  </si>
  <si>
    <t>FREQTABLE(H21:35,.16)</t>
  </si>
  <si>
    <t>Coding of Categorical Variables</t>
  </si>
  <si>
    <t>Simple Coding</t>
  </si>
  <si>
    <t>Usual Dummy Coding</t>
  </si>
  <si>
    <t>Alternative Dummy Coding</t>
  </si>
  <si>
    <t>Season</t>
  </si>
  <si>
    <t>Temp</t>
  </si>
  <si>
    <t>t1</t>
  </si>
  <si>
    <t>t2</t>
  </si>
  <si>
    <t>t3</t>
  </si>
  <si>
    <t>Winter</t>
  </si>
  <si>
    <t>Spring</t>
  </si>
  <si>
    <t>Summer</t>
  </si>
  <si>
    <t>Fall</t>
  </si>
  <si>
    <t>Table Lookup</t>
  </si>
  <si>
    <t>Method 1</t>
  </si>
  <si>
    <t>Method 2</t>
  </si>
  <si>
    <t>b</t>
  </si>
  <si>
    <t>row</t>
  </si>
  <si>
    <t>col</t>
  </si>
  <si>
    <t>value</t>
  </si>
  <si>
    <t>rindex</t>
  </si>
  <si>
    <t>cindex</t>
  </si>
  <si>
    <t>tlookup</t>
  </si>
  <si>
    <t>Method 3</t>
  </si>
  <si>
    <t>Method 4</t>
  </si>
  <si>
    <t>α = .10</t>
  </si>
  <si>
    <t>&gt;10</t>
  </si>
  <si>
    <t>α = .05</t>
  </si>
  <si>
    <t>weight</t>
  </si>
  <si>
    <t>α = .01</t>
  </si>
  <si>
    <t>ilookup</t>
  </si>
  <si>
    <t>α</t>
  </si>
  <si>
    <t>offset</t>
  </si>
  <si>
    <t>SHUFFLE</t>
  </si>
  <si>
    <t>=RANDOMIZE(E4:E23)</t>
  </si>
  <si>
    <t>=SHUFFLE(A4:A23)</t>
  </si>
  <si>
    <t>Pop</t>
  </si>
  <si>
    <t>Random</t>
  </si>
  <si>
    <t>Sample</t>
  </si>
  <si>
    <t>Graphing standard error of the mean</t>
  </si>
  <si>
    <t>Subject</t>
  </si>
  <si>
    <t>Before</t>
  </si>
  <si>
    <t>1 week</t>
  </si>
  <si>
    <t>2 weeks</t>
  </si>
  <si>
    <t>3 weeks</t>
  </si>
  <si>
    <t>std dev</t>
  </si>
  <si>
    <t>s.e.</t>
  </si>
  <si>
    <t>red</t>
  </si>
  <si>
    <t>green</t>
  </si>
  <si>
    <t>blue</t>
  </si>
  <si>
    <t>code</t>
  </si>
  <si>
    <t>white</t>
  </si>
  <si>
    <t>black</t>
  </si>
  <si>
    <t>yellow</t>
  </si>
  <si>
    <t>purple</t>
  </si>
  <si>
    <t>orange</t>
  </si>
  <si>
    <t>grey</t>
  </si>
  <si>
    <t>cyan</t>
  </si>
  <si>
    <t>navy</t>
  </si>
  <si>
    <t>olive</t>
  </si>
  <si>
    <t>pink</t>
  </si>
  <si>
    <t>silver</t>
  </si>
  <si>
    <t>brown</t>
  </si>
  <si>
    <t>lime</t>
  </si>
  <si>
    <t>magenta</t>
  </si>
  <si>
    <t>maroon</t>
  </si>
  <si>
    <t>salmon</t>
  </si>
  <si>
    <t>turquoise</t>
  </si>
  <si>
    <t>teal</t>
  </si>
  <si>
    <t>tan</t>
  </si>
  <si>
    <t>gold</t>
  </si>
  <si>
    <t>beige</t>
  </si>
  <si>
    <t>Color Functions</t>
  </si>
  <si>
    <t>Length of a vector</t>
  </si>
  <si>
    <t>A'</t>
  </si>
  <si>
    <t>length</t>
  </si>
  <si>
    <r>
      <t>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</si>
  <si>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A</t>
    </r>
    <r>
      <rPr>
        <vertAlign val="super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</si>
  <si>
    <t>Real Statistics function</t>
  </si>
  <si>
    <t>LENGTH</t>
  </si>
  <si>
    <t>Inverse of a matrix</t>
  </si>
  <si>
    <r>
      <t>A</t>
    </r>
    <r>
      <rPr>
        <vertAlign val="superscript"/>
        <sz val="11"/>
        <color theme="1"/>
        <rFont val="Calibri"/>
        <family val="2"/>
        <scheme val="minor"/>
      </rPr>
      <t>-1</t>
    </r>
  </si>
  <si>
    <t>A2</t>
  </si>
  <si>
    <t>A3</t>
  </si>
  <si>
    <t>Diagonal of a matrix</t>
  </si>
  <si>
    <t>Diagonal</t>
  </si>
  <si>
    <t>Determinant</t>
  </si>
  <si>
    <t>det</t>
  </si>
  <si>
    <t>Det</t>
  </si>
  <si>
    <t>Rule</t>
  </si>
  <si>
    <t>Answer using MDETERM</t>
  </si>
  <si>
    <t>Solving equations using Cramer's Rule</t>
  </si>
  <si>
    <r>
      <t>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C</t>
    </r>
  </si>
  <si>
    <t>x =</t>
  </si>
  <si>
    <t>y =</t>
  </si>
  <si>
    <t xml:space="preserve">z = </t>
  </si>
  <si>
    <t>det A =</t>
  </si>
  <si>
    <r>
      <t>det 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</t>
    </r>
  </si>
  <si>
    <r>
      <t>det A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</t>
    </r>
  </si>
  <si>
    <r>
      <t>det A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=</t>
    </r>
  </si>
  <si>
    <t>Gaussian Elimination</t>
  </si>
  <si>
    <t>Non-homogeneous linear equations - unique solution</t>
  </si>
  <si>
    <t>Homogeneous linear equations - trivial solution only</t>
  </si>
  <si>
    <t>Homogeneous linear equations - infinite number of solutions</t>
  </si>
  <si>
    <t>Invert a matrix</t>
  </si>
  <si>
    <t>Example 4: Non-homogeneous linear equations - unique solution</t>
  </si>
  <si>
    <t>Example 7: Non-homogeneous linear equations - no solutions</t>
  </si>
  <si>
    <t>ELIM</t>
  </si>
  <si>
    <t>LINEQU</t>
  </si>
  <si>
    <t>RANK</t>
  </si>
  <si>
    <t>Example A: Non-homogeneous linear equations -infinite number of solutions</t>
  </si>
  <si>
    <t>Example 8: Non-homogeneous linear equations - unique solution</t>
  </si>
  <si>
    <t>Example 9: Non-homogeneous linear equations - infinite number of solutions</t>
  </si>
  <si>
    <t>Example B: Non-homogeneous linear equations - no solution</t>
  </si>
  <si>
    <t>Example 5: Homogeneous linear equations - trivial solution only</t>
  </si>
  <si>
    <t>Example 6: Homogeneous linear equations - infinite number of solutions</t>
  </si>
  <si>
    <t>Example 10: Matrix inversion - invertible</t>
  </si>
  <si>
    <t>Example C: Matrix inversion - not invertible</t>
  </si>
  <si>
    <t>Example D: Non-homogeneous - unique solution</t>
  </si>
  <si>
    <t>Example E: Non-homogeneous - no solution</t>
  </si>
  <si>
    <t>Example F: Non-homogeneous - infinite number of solutions</t>
  </si>
  <si>
    <t>Newton's Method</t>
  </si>
  <si>
    <t>One variable</t>
  </si>
  <si>
    <t>Two variables, two equations</t>
  </si>
  <si>
    <t>f(x) =</t>
  </si>
  <si>
    <r>
      <t>e</t>
    </r>
    <r>
      <rPr>
        <vertAlign val="super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+ x - 3</t>
    </r>
  </si>
  <si>
    <t>f(x,y) =</t>
  </si>
  <si>
    <r>
      <t>y - e</t>
    </r>
    <r>
      <rPr>
        <vertAlign val="superscript"/>
        <sz val="11"/>
        <color theme="1"/>
        <rFont val="Calibri"/>
        <family val="2"/>
        <scheme val="minor"/>
      </rPr>
      <t>x</t>
    </r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</si>
  <si>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(x,y) =</t>
    </r>
  </si>
  <si>
    <r>
      <t>- e</t>
    </r>
    <r>
      <rPr>
        <vertAlign val="superscript"/>
        <sz val="11"/>
        <color theme="1"/>
        <rFont val="Calibri"/>
        <family val="2"/>
        <scheme val="minor"/>
      </rPr>
      <t>x</t>
    </r>
  </si>
  <si>
    <r>
      <t>f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(x,y) =</t>
    </r>
  </si>
  <si>
    <t>f'(x) =</t>
  </si>
  <si>
    <r>
      <t>e</t>
    </r>
    <r>
      <rPr>
        <vertAlign val="super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+ 1</t>
    </r>
  </si>
  <si>
    <t>g(x,y) =</t>
  </si>
  <si>
    <t>y + x - 3</t>
  </si>
  <si>
    <r>
      <t>g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(x,y) =</t>
    </r>
  </si>
  <si>
    <r>
      <t>g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(x,y) =</t>
    </r>
  </si>
  <si>
    <t>iter</t>
  </si>
  <si>
    <t>f(x,y)</t>
  </si>
  <si>
    <t>g(x,y)</t>
  </si>
  <si>
    <r>
      <t>J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</si>
  <si>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-25</t>
    </r>
  </si>
  <si>
    <t>2x</t>
  </si>
  <si>
    <t>Eigenvalues using Excel's Goal Seek tool</t>
  </si>
  <si>
    <t>I</t>
  </si>
  <si>
    <t>Confirm with data analysis tool</t>
  </si>
  <si>
    <t>guess</t>
  </si>
  <si>
    <t>eigenvalue</t>
  </si>
  <si>
    <t>det(A-cI)</t>
  </si>
  <si>
    <t>A - cI</t>
  </si>
  <si>
    <t>Gamma Function</t>
  </si>
  <si>
    <t>Incomplete Gamma Function</t>
  </si>
  <si>
    <t>Γ(x)</t>
  </si>
  <si>
    <t>gamma</t>
  </si>
  <si>
    <t>Mathematical Notation and Concepts</t>
  </si>
  <si>
    <t>Matrices and Iterative Processes</t>
  </si>
  <si>
    <t>Real Statistics Using Excel - Examples Workbook Basics</t>
  </si>
  <si>
    <t>Interpolation</t>
  </si>
  <si>
    <t>Spearman's Rho</t>
  </si>
  <si>
    <t>α-linear</t>
  </si>
  <si>
    <t>α-log</t>
  </si>
  <si>
    <t>α-harmonic</t>
  </si>
  <si>
    <t>Real Statistics Capabilities</t>
  </si>
  <si>
    <t>Interpolation examples</t>
  </si>
  <si>
    <t>Bonferroni and Dunn-Sidàk Corrections</t>
  </si>
  <si>
    <t>Holm's and Hochberg Approach</t>
  </si>
  <si>
    <t>Benjamini-Hochberg Approach</t>
  </si>
  <si>
    <t>Benjamini-Yekutieli Approach</t>
  </si>
  <si>
    <t>Benjamini-Hochberg Method</t>
  </si>
  <si>
    <t>FDR</t>
  </si>
  <si>
    <t>ᾶ</t>
  </si>
  <si>
    <t># of tests</t>
  </si>
  <si>
    <t>p-value</t>
  </si>
  <si>
    <r>
      <t xml:space="preserve">Bonf </t>
    </r>
    <r>
      <rPr>
        <sz val="11"/>
        <color theme="1"/>
        <rFont val="Calibri"/>
        <family val="2"/>
      </rPr>
      <t>α</t>
    </r>
  </si>
  <si>
    <t>Bonf sig</t>
  </si>
  <si>
    <r>
      <t xml:space="preserve">DS </t>
    </r>
    <r>
      <rPr>
        <sz val="11"/>
        <color theme="1"/>
        <rFont val="Calibri"/>
        <family val="2"/>
      </rPr>
      <t>α</t>
    </r>
  </si>
  <si>
    <t>sig</t>
  </si>
  <si>
    <t>rank</t>
  </si>
  <si>
    <r>
      <t xml:space="preserve">adj </t>
    </r>
    <r>
      <rPr>
        <sz val="11"/>
        <color theme="1"/>
        <rFont val="Calibri"/>
        <family val="2"/>
      </rPr>
      <t>α</t>
    </r>
  </si>
  <si>
    <t>Holm sig</t>
  </si>
  <si>
    <t>Hoch sig</t>
  </si>
  <si>
    <t>BH sig</t>
  </si>
  <si>
    <t>BY sig</t>
  </si>
  <si>
    <t>test</t>
  </si>
  <si>
    <t>Familywise error</t>
  </si>
  <si>
    <t>Bonferroni and Dunn/Sidàk tests</t>
  </si>
  <si>
    <t>Holm and Hochberg tests</t>
  </si>
  <si>
    <t>Benjamini-Hochberg test</t>
  </si>
  <si>
    <t>Benjamini-Yekutieli test</t>
  </si>
  <si>
    <t>SEQ</t>
  </si>
  <si>
    <t>Sequence (SEQ)</t>
  </si>
  <si>
    <t>Copyright © 2013 - 2019 Charles Zaiontz</t>
  </si>
  <si>
    <t>Charles Zaiontz, 17 January 2019</t>
  </si>
  <si>
    <t>Prime numbers</t>
  </si>
  <si>
    <t>Bitwise calculations</t>
  </si>
  <si>
    <t>Prime Numbers</t>
  </si>
  <si>
    <t>Bitwise Arithmetic</t>
  </si>
  <si>
    <t>0101101</t>
  </si>
  <si>
    <t>01100</t>
  </si>
  <si>
    <t>10101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</si>
</sst>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£&quot;* #,##0.00_);_(&quot;£&quot;* \(#,##0.00\);_(&quot;£&quot;* &quot;-&quot;??_);_(@_)"/>
    <numFmt numFmtId="165" formatCode="0.0000"/>
    <numFmt numFmtId="166" formatCode="0.0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b/>
      <u/>
      <sz val="11"/>
      <color theme="10"/>
      <name val="Calibri"/>
      <family val="2"/>
    </font>
    <font>
      <sz val="11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10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3" fillId="0" borderId="0" xfId="2" applyAlignment="1" applyProtection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1" applyNumberFormat="1" applyFont="1"/>
    <xf numFmtId="0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1" fillId="0" borderId="0" xfId="1" applyNumberFormat="1" applyFont="1" applyBorder="1"/>
    <xf numFmtId="0" fontId="0" fillId="0" borderId="0" xfId="1" applyNumberFormat="1" applyFont="1" applyBorder="1"/>
    <xf numFmtId="0" fontId="0" fillId="0" borderId="0" xfId="0" applyAlignment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2" fontId="0" fillId="0" borderId="0" xfId="0" applyNumberFormat="1"/>
    <xf numFmtId="0" fontId="0" fillId="0" borderId="0" xfId="0" quotePrefix="1"/>
    <xf numFmtId="165" fontId="0" fillId="0" borderId="0" xfId="0" applyNumberFormat="1"/>
    <xf numFmtId="0" fontId="0" fillId="0" borderId="0" xfId="0" applyFont="1"/>
    <xf numFmtId="165" fontId="0" fillId="0" borderId="0" xfId="0" applyNumberFormat="1" applyFont="1"/>
    <xf numFmtId="0" fontId="5" fillId="0" borderId="15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16" xfId="0" applyFill="1" applyBorder="1" applyAlignment="1"/>
    <xf numFmtId="0" fontId="0" fillId="0" borderId="16" xfId="0" applyNumberFormat="1" applyFill="1" applyBorder="1" applyAlignment="1"/>
    <xf numFmtId="10" fontId="0" fillId="0" borderId="16" xfId="0" applyNumberFormat="1" applyFill="1" applyBorder="1" applyAlignment="1"/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centerContinuous"/>
    </xf>
    <xf numFmtId="0" fontId="5" fillId="0" borderId="7" xfId="0" applyFont="1" applyBorder="1" applyAlignment="1">
      <alignment horizontal="center"/>
    </xf>
    <xf numFmtId="0" fontId="0" fillId="0" borderId="16" xfId="0" applyBorder="1"/>
    <xf numFmtId="0" fontId="0" fillId="0" borderId="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0" xfId="0" applyBorder="1"/>
    <xf numFmtId="0" fontId="0" fillId="0" borderId="12" xfId="0" applyBorder="1"/>
    <xf numFmtId="166" fontId="0" fillId="0" borderId="4" xfId="0" applyNumberFormat="1" applyBorder="1"/>
    <xf numFmtId="166" fontId="0" fillId="0" borderId="6" xfId="0" applyNumberFormat="1" applyBorder="1"/>
    <xf numFmtId="0" fontId="0" fillId="0" borderId="10" xfId="0" applyBorder="1" applyAlignment="1">
      <alignment horizontal="center"/>
    </xf>
    <xf numFmtId="166" fontId="0" fillId="0" borderId="0" xfId="0" applyNumberForma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Border="1"/>
    <xf numFmtId="2" fontId="0" fillId="0" borderId="0" xfId="0" applyNumberFormat="1" applyBorder="1"/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applyFont="1" applyBorder="1"/>
    <xf numFmtId="166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/>
    <xf numFmtId="166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/>
    <xf numFmtId="0" fontId="0" fillId="0" borderId="25" xfId="0" applyBorder="1"/>
    <xf numFmtId="0" fontId="0" fillId="0" borderId="23" xfId="0" applyBorder="1"/>
    <xf numFmtId="0" fontId="0" fillId="0" borderId="24" xfId="0" applyBorder="1"/>
    <xf numFmtId="0" fontId="0" fillId="2" borderId="0" xfId="0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0" fillId="0" borderId="26" xfId="0" applyBorder="1" applyAlignment="1">
      <alignment horizontal="center"/>
    </xf>
    <xf numFmtId="0" fontId="0" fillId="2" borderId="26" xfId="0" applyFill="1" applyBorder="1"/>
    <xf numFmtId="0" fontId="0" fillId="0" borderId="33" xfId="0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38" xfId="0" applyBorder="1"/>
    <xf numFmtId="0" fontId="0" fillId="0" borderId="33" xfId="0" applyBorder="1"/>
    <xf numFmtId="0" fontId="0" fillId="0" borderId="38" xfId="0" applyBorder="1" applyAlignment="1">
      <alignment horizontal="center"/>
    </xf>
    <xf numFmtId="0" fontId="0" fillId="0" borderId="32" xfId="0" applyBorder="1"/>
    <xf numFmtId="0" fontId="0" fillId="0" borderId="35" xfId="0" applyBorder="1"/>
    <xf numFmtId="0" fontId="0" fillId="0" borderId="38" xfId="0" applyFill="1" applyBorder="1"/>
    <xf numFmtId="0" fontId="0" fillId="0" borderId="33" xfId="0" applyFill="1" applyBorder="1"/>
    <xf numFmtId="0" fontId="0" fillId="0" borderId="26" xfId="0" applyFill="1" applyBorder="1"/>
    <xf numFmtId="0" fontId="0" fillId="0" borderId="28" xfId="0" applyFill="1" applyBorder="1"/>
    <xf numFmtId="0" fontId="0" fillId="0" borderId="37" xfId="0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0" xfId="0" applyBorder="1"/>
    <xf numFmtId="0" fontId="0" fillId="0" borderId="39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/>
    <xf numFmtId="0" fontId="0" fillId="0" borderId="43" xfId="0" applyBorder="1" applyAlignment="1">
      <alignment horizontal="center"/>
    </xf>
    <xf numFmtId="0" fontId="0" fillId="0" borderId="43" xfId="0" applyBorder="1" applyAlignment="1">
      <alignment horizontal="right"/>
    </xf>
    <xf numFmtId="0" fontId="0" fillId="0" borderId="41" xfId="0" applyBorder="1"/>
    <xf numFmtId="0" fontId="0" fillId="0" borderId="42" xfId="0" applyBorder="1"/>
    <xf numFmtId="166" fontId="0" fillId="0" borderId="38" xfId="0" applyNumberFormat="1" applyBorder="1"/>
    <xf numFmtId="0" fontId="0" fillId="0" borderId="44" xfId="0" applyBorder="1"/>
    <xf numFmtId="0" fontId="0" fillId="0" borderId="46" xfId="0" applyBorder="1"/>
    <xf numFmtId="0" fontId="0" fillId="0" borderId="45" xfId="0" applyBorder="1"/>
    <xf numFmtId="0" fontId="0" fillId="0" borderId="47" xfId="0" applyBorder="1"/>
    <xf numFmtId="0" fontId="8" fillId="0" borderId="0" xfId="0" applyFont="1"/>
    <xf numFmtId="0" fontId="0" fillId="0" borderId="48" xfId="0" applyBorder="1"/>
    <xf numFmtId="0" fontId="0" fillId="0" borderId="0" xfId="0" applyAlignment="1">
      <alignment horizontal="center"/>
    </xf>
    <xf numFmtId="0" fontId="11" fillId="0" borderId="0" xfId="2" applyFont="1" applyAlignment="1" applyProtection="1"/>
    <xf numFmtId="0" fontId="8" fillId="0" borderId="17" xfId="0" applyFont="1" applyBorder="1"/>
    <xf numFmtId="0" fontId="8" fillId="0" borderId="17" xfId="0" applyFont="1" applyBorder="1" applyAlignment="1">
      <alignment horizontal="right"/>
    </xf>
    <xf numFmtId="0" fontId="8" fillId="0" borderId="0" xfId="3" applyFont="1" applyBorder="1" applyAlignment="1">
      <alignment horizontal="right"/>
    </xf>
    <xf numFmtId="166" fontId="8" fillId="0" borderId="0" xfId="3" quotePrefix="1" applyNumberFormat="1" applyFont="1" applyBorder="1" applyAlignment="1">
      <alignment horizontal="right"/>
    </xf>
    <xf numFmtId="166" fontId="8" fillId="0" borderId="0" xfId="0" applyNumberFormat="1" applyFont="1"/>
    <xf numFmtId="3" fontId="8" fillId="0" borderId="0" xfId="3" applyNumberFormat="1" applyFont="1" applyFill="1" applyBorder="1" applyAlignment="1">
      <alignment horizontal="right" wrapText="1"/>
    </xf>
    <xf numFmtId="166" fontId="8" fillId="0" borderId="0" xfId="3" applyNumberFormat="1" applyFont="1" applyBorder="1" applyAlignment="1"/>
    <xf numFmtId="2" fontId="8" fillId="0" borderId="0" xfId="3" applyNumberFormat="1" applyFont="1" applyAlignment="1"/>
    <xf numFmtId="166" fontId="8" fillId="0" borderId="0" xfId="3" applyNumberFormat="1" applyFont="1" applyBorder="1" applyAlignment="1">
      <alignment horizontal="right" wrapText="1"/>
    </xf>
    <xf numFmtId="166" fontId="8" fillId="0" borderId="0" xfId="4" applyNumberFormat="1" applyFont="1" applyAlignment="1"/>
    <xf numFmtId="3" fontId="8" fillId="0" borderId="0" xfId="3" applyNumberFormat="1" applyFont="1"/>
    <xf numFmtId="167" fontId="8" fillId="0" borderId="0" xfId="3" applyNumberFormat="1" applyFont="1" applyBorder="1" applyAlignment="1">
      <alignment horizontal="right"/>
    </xf>
    <xf numFmtId="166" fontId="8" fillId="0" borderId="0" xfId="0" applyNumberFormat="1" applyFont="1" applyBorder="1"/>
    <xf numFmtId="2" fontId="8" fillId="0" borderId="0" xfId="3" applyNumberFormat="1" applyFont="1" applyBorder="1" applyAlignment="1"/>
    <xf numFmtId="166" fontId="8" fillId="0" borderId="0" xfId="4" applyNumberFormat="1" applyFont="1" applyBorder="1" applyAlignment="1"/>
    <xf numFmtId="3" fontId="8" fillId="0" borderId="0" xfId="3" applyNumberFormat="1" applyFont="1" applyBorder="1"/>
    <xf numFmtId="0" fontId="8" fillId="0" borderId="7" xfId="0" applyFont="1" applyBorder="1"/>
    <xf numFmtId="0" fontId="8" fillId="0" borderId="7" xfId="3" applyFont="1" applyBorder="1" applyAlignment="1">
      <alignment horizontal="right"/>
    </xf>
    <xf numFmtId="166" fontId="8" fillId="0" borderId="7" xfId="3" quotePrefix="1" applyNumberFormat="1" applyFont="1" applyBorder="1" applyAlignment="1">
      <alignment horizontal="right"/>
    </xf>
    <xf numFmtId="166" fontId="8" fillId="0" borderId="7" xfId="0" applyNumberFormat="1" applyFont="1" applyBorder="1"/>
    <xf numFmtId="3" fontId="8" fillId="0" borderId="7" xfId="3" applyNumberFormat="1" applyFont="1" applyFill="1" applyBorder="1" applyAlignment="1">
      <alignment horizontal="right" wrapText="1"/>
    </xf>
    <xf numFmtId="166" fontId="8" fillId="0" borderId="7" xfId="3" applyNumberFormat="1" applyFont="1" applyBorder="1" applyAlignment="1"/>
    <xf numFmtId="2" fontId="8" fillId="0" borderId="7" xfId="3" applyNumberFormat="1" applyFont="1" applyBorder="1" applyAlignment="1"/>
    <xf numFmtId="166" fontId="8" fillId="0" borderId="7" xfId="3" applyNumberFormat="1" applyFont="1" applyBorder="1" applyAlignment="1">
      <alignment horizontal="right" wrapText="1"/>
    </xf>
    <xf numFmtId="166" fontId="8" fillId="0" borderId="7" xfId="4" applyNumberFormat="1" applyFont="1" applyBorder="1" applyAlignment="1"/>
    <xf numFmtId="3" fontId="8" fillId="0" borderId="7" xfId="3" applyNumberFormat="1" applyFont="1" applyBorder="1"/>
    <xf numFmtId="0" fontId="0" fillId="2" borderId="28" xfId="0" applyFill="1" applyBorder="1"/>
    <xf numFmtId="0" fontId="0" fillId="0" borderId="49" xfId="0" applyBorder="1"/>
    <xf numFmtId="0" fontId="0" fillId="2" borderId="50" xfId="0" applyFill="1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2" borderId="49" xfId="0" applyFill="1" applyBorder="1"/>
    <xf numFmtId="0" fontId="0" fillId="2" borderId="38" xfId="0" applyFill="1" applyBorder="1"/>
    <xf numFmtId="0" fontId="0" fillId="2" borderId="33" xfId="0" applyFill="1" applyBorder="1"/>
    <xf numFmtId="0" fontId="0" fillId="3" borderId="38" xfId="0" applyFill="1" applyBorder="1"/>
    <xf numFmtId="0" fontId="0" fillId="3" borderId="33" xfId="0" applyFill="1" applyBorder="1"/>
    <xf numFmtId="0" fontId="0" fillId="0" borderId="56" xfId="0" applyBorder="1" applyAlignment="1">
      <alignment horizontal="center"/>
    </xf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57" xfId="0" applyBorder="1"/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166" fontId="0" fillId="0" borderId="26" xfId="0" applyNumberFormat="1" applyBorder="1"/>
    <xf numFmtId="0" fontId="0" fillId="0" borderId="61" xfId="0" applyBorder="1"/>
    <xf numFmtId="0" fontId="5" fillId="0" borderId="62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Fill="1" applyBorder="1"/>
    <xf numFmtId="0" fontId="0" fillId="0" borderId="29" xfId="0" applyFill="1" applyBorder="1"/>
    <xf numFmtId="9" fontId="0" fillId="0" borderId="0" xfId="0" applyNumberFormat="1" applyFill="1" applyBorder="1" applyAlignment="1"/>
    <xf numFmtId="9" fontId="0" fillId="0" borderId="16" xfId="0" applyNumberFormat="1" applyFill="1" applyBorder="1" applyAlignment="1"/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0" xfId="0" applyAlignment="1">
      <alignment horizontal="center"/>
    </xf>
    <xf numFmtId="0" fontId="5" fillId="0" borderId="56" xfId="0" applyFont="1" applyBorder="1" applyAlignment="1">
      <alignment horizontal="center"/>
    </xf>
    <xf numFmtId="0" fontId="0" fillId="4" borderId="11" xfId="0" applyFill="1" applyBorder="1" applyAlignment="1">
      <alignment horizontal="right"/>
    </xf>
    <xf numFmtId="2" fontId="0" fillId="4" borderId="3" xfId="0" applyNumberFormat="1" applyFill="1" applyBorder="1"/>
    <xf numFmtId="2" fontId="0" fillId="4" borderId="5" xfId="0" applyNumberFormat="1" applyFill="1" applyBorder="1"/>
    <xf numFmtId="2" fontId="0" fillId="4" borderId="8" xfId="0" applyNumberFormat="1" applyFill="1" applyBorder="1"/>
    <xf numFmtId="0" fontId="0" fillId="5" borderId="9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0" fillId="5" borderId="1" xfId="0" applyFill="1" applyBorder="1"/>
    <xf numFmtId="0" fontId="0" fillId="5" borderId="12" xfId="0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6" xfId="0" applyFill="1" applyBorder="1"/>
    <xf numFmtId="0" fontId="0" fillId="5" borderId="14" xfId="0" applyFill="1" applyBorder="1"/>
    <xf numFmtId="0" fontId="0" fillId="5" borderId="0" xfId="0" applyFill="1"/>
    <xf numFmtId="0" fontId="0" fillId="4" borderId="66" xfId="0" quotePrefix="1" applyFill="1" applyBorder="1"/>
    <xf numFmtId="0" fontId="0" fillId="4" borderId="36" xfId="0" applyFill="1" applyBorder="1"/>
    <xf numFmtId="0" fontId="0" fillId="4" borderId="29" xfId="0" applyFill="1" applyBorder="1"/>
    <xf numFmtId="0" fontId="0" fillId="2" borderId="66" xfId="0" applyFill="1" applyBorder="1"/>
    <xf numFmtId="0" fontId="0" fillId="2" borderId="36" xfId="0" applyFill="1" applyBorder="1"/>
    <xf numFmtId="0" fontId="0" fillId="2" borderId="29" xfId="0" applyFill="1" applyBorder="1"/>
    <xf numFmtId="0" fontId="0" fillId="6" borderId="0" xfId="0" applyFill="1" applyBorder="1"/>
    <xf numFmtId="0" fontId="0" fillId="6" borderId="7" xfId="0" applyFill="1" applyBorder="1"/>
    <xf numFmtId="0" fontId="0" fillId="0" borderId="67" xfId="0" applyFill="1" applyBorder="1"/>
    <xf numFmtId="0" fontId="0" fillId="0" borderId="68" xfId="0" applyFill="1" applyBorder="1"/>
    <xf numFmtId="2" fontId="0" fillId="0" borderId="0" xfId="5" applyNumberFormat="1" applyFont="1"/>
    <xf numFmtId="166" fontId="0" fillId="0" borderId="56" xfId="0" applyNumberFormat="1" applyBorder="1"/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quotePrefix="1" applyBorder="1"/>
    <xf numFmtId="0" fontId="0" fillId="0" borderId="68" xfId="0" applyBorder="1" applyAlignment="1">
      <alignment horizontal="center"/>
    </xf>
    <xf numFmtId="0" fontId="0" fillId="3" borderId="26" xfId="0" applyFill="1" applyBorder="1"/>
    <xf numFmtId="0" fontId="0" fillId="3" borderId="28" xfId="0" applyFill="1" applyBorder="1"/>
    <xf numFmtId="0" fontId="0" fillId="0" borderId="6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5" fillId="0" borderId="39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0" fillId="0" borderId="73" xfId="0" applyBorder="1"/>
    <xf numFmtId="0" fontId="0" fillId="0" borderId="74" xfId="0" applyBorder="1"/>
    <xf numFmtId="0" fontId="0" fillId="0" borderId="75" xfId="0" applyBorder="1"/>
    <xf numFmtId="0" fontId="0" fillId="3" borderId="36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0" borderId="76" xfId="0" applyBorder="1" applyAlignment="1">
      <alignment horizontal="center"/>
    </xf>
    <xf numFmtId="0" fontId="0" fillId="0" borderId="76" xfId="0" applyBorder="1"/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5" fillId="0" borderId="77" xfId="0" applyFont="1" applyBorder="1" applyAlignment="1">
      <alignment horizontal="center"/>
    </xf>
    <xf numFmtId="0" fontId="0" fillId="0" borderId="77" xfId="0" applyBorder="1"/>
    <xf numFmtId="0" fontId="0" fillId="0" borderId="78" xfId="0" applyBorder="1"/>
    <xf numFmtId="0" fontId="0" fillId="0" borderId="8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84" xfId="0" applyBorder="1"/>
    <xf numFmtId="0" fontId="0" fillId="0" borderId="85" xfId="0" applyBorder="1" applyAlignment="1">
      <alignment horizontal="right"/>
    </xf>
    <xf numFmtId="0" fontId="0" fillId="0" borderId="8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6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0" fillId="0" borderId="9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0" xfId="0" applyFill="1" applyBorder="1"/>
    <xf numFmtId="0" fontId="0" fillId="0" borderId="63" xfId="0" applyBorder="1" applyAlignment="1">
      <alignment horizontal="center"/>
    </xf>
    <xf numFmtId="0" fontId="14" fillId="0" borderId="0" xfId="0" applyFont="1"/>
    <xf numFmtId="0" fontId="0" fillId="0" borderId="84" xfId="0" applyBorder="1" applyAlignment="1">
      <alignment horizontal="center"/>
    </xf>
    <xf numFmtId="0" fontId="4" fillId="0" borderId="0" xfId="0" applyFont="1"/>
    <xf numFmtId="0" fontId="0" fillId="0" borderId="8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2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quotePrefix="1" applyNumberFormat="1"/>
    <xf numFmtId="166" fontId="0" fillId="0" borderId="92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0" fontId="0" fillId="0" borderId="93" xfId="0" applyBorder="1"/>
    <xf numFmtId="0" fontId="0" fillId="0" borderId="94" xfId="0" applyBorder="1"/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right"/>
    </xf>
    <xf numFmtId="0" fontId="0" fillId="0" borderId="97" xfId="0" applyBorder="1" applyAlignment="1">
      <alignment horizontal="right"/>
    </xf>
    <xf numFmtId="166" fontId="0" fillId="0" borderId="29" xfId="0" applyNumberFormat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29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165" fontId="0" fillId="0" borderId="93" xfId="0" applyNumberFormat="1" applyBorder="1"/>
    <xf numFmtId="165" fontId="0" fillId="0" borderId="63" xfId="0" applyNumberFormat="1" applyBorder="1"/>
    <xf numFmtId="165" fontId="0" fillId="0" borderId="94" xfId="0" applyNumberFormat="1" applyBorder="1"/>
    <xf numFmtId="165" fontId="0" fillId="0" borderId="38" xfId="0" applyNumberFormat="1" applyBorder="1"/>
    <xf numFmtId="165" fontId="0" fillId="0" borderId="0" xfId="0" applyNumberFormat="1" applyBorder="1"/>
    <xf numFmtId="165" fontId="0" fillId="0" borderId="33" xfId="0" applyNumberFormat="1" applyBorder="1"/>
    <xf numFmtId="165" fontId="0" fillId="0" borderId="26" xfId="0" applyNumberFormat="1" applyBorder="1"/>
    <xf numFmtId="165" fontId="0" fillId="0" borderId="56" xfId="0" applyNumberFormat="1" applyBorder="1"/>
    <xf numFmtId="165" fontId="0" fillId="0" borderId="28" xfId="0" applyNumberFormat="1" applyBorder="1"/>
    <xf numFmtId="0" fontId="0" fillId="0" borderId="97" xfId="0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5" fillId="7" borderId="92" xfId="0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15" fillId="7" borderId="29" xfId="0" applyFont="1" applyFill="1" applyBorder="1" applyAlignment="1">
      <alignment horizontal="center"/>
    </xf>
    <xf numFmtId="0" fontId="15" fillId="0" borderId="0" xfId="0" applyFont="1"/>
    <xf numFmtId="0" fontId="0" fillId="0" borderId="98" xfId="0" applyBorder="1"/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98" xfId="0" applyBorder="1" applyAlignment="1">
      <alignment horizontal="right"/>
    </xf>
    <xf numFmtId="0" fontId="0" fillId="8" borderId="0" xfId="0" applyFill="1"/>
    <xf numFmtId="0" fontId="0" fillId="0" borderId="92" xfId="0" applyBorder="1"/>
    <xf numFmtId="0" fontId="0" fillId="0" borderId="29" xfId="0" applyBorder="1" applyAlignment="1">
      <alignment horizontal="right"/>
    </xf>
    <xf numFmtId="0" fontId="0" fillId="0" borderId="92" xfId="0" applyBorder="1" applyAlignment="1">
      <alignment horizontal="right"/>
    </xf>
    <xf numFmtId="0" fontId="0" fillId="9" borderId="0" xfId="0" applyFill="1"/>
    <xf numFmtId="0" fontId="0" fillId="0" borderId="36" xfId="0" applyBorder="1" applyAlignment="1">
      <alignment horizontal="right"/>
    </xf>
    <xf numFmtId="0" fontId="0" fillId="10" borderId="0" xfId="0" applyFill="1"/>
    <xf numFmtId="0" fontId="13" fillId="0" borderId="0" xfId="0" applyFont="1"/>
    <xf numFmtId="0" fontId="16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0" fillId="0" borderId="98" xfId="0" applyBorder="1" applyAlignment="1">
      <alignment horizontal="center"/>
    </xf>
    <xf numFmtId="0" fontId="0" fillId="0" borderId="93" xfId="0" applyFont="1" applyBorder="1"/>
    <xf numFmtId="0" fontId="0" fillId="0" borderId="63" xfId="0" applyFont="1" applyBorder="1"/>
    <xf numFmtId="0" fontId="0" fillId="0" borderId="94" xfId="0" applyFont="1" applyBorder="1"/>
    <xf numFmtId="0" fontId="0" fillId="0" borderId="20" xfId="0" applyFont="1" applyBorder="1"/>
    <xf numFmtId="0" fontId="0" fillId="0" borderId="33" xfId="0" applyFont="1" applyBorder="1"/>
    <xf numFmtId="0" fontId="0" fillId="0" borderId="26" xfId="0" applyFont="1" applyBorder="1"/>
    <xf numFmtId="0" fontId="0" fillId="0" borderId="98" xfId="0" applyFont="1" applyBorder="1"/>
    <xf numFmtId="0" fontId="0" fillId="0" borderId="28" xfId="0" applyFont="1" applyBorder="1"/>
    <xf numFmtId="0" fontId="0" fillId="0" borderId="63" xfId="0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63" xfId="0" applyFill="1" applyBorder="1"/>
    <xf numFmtId="0" fontId="0" fillId="0" borderId="94" xfId="0" applyFill="1" applyBorder="1"/>
    <xf numFmtId="0" fontId="0" fillId="0" borderId="98" xfId="0" applyFill="1" applyBorder="1"/>
    <xf numFmtId="0" fontId="0" fillId="0" borderId="3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7" xfId="0" applyFont="1" applyBorder="1"/>
    <xf numFmtId="0" fontId="0" fillId="0" borderId="68" xfId="0" applyFont="1" applyBorder="1"/>
    <xf numFmtId="0" fontId="0" fillId="0" borderId="79" xfId="0" applyBorder="1"/>
    <xf numFmtId="0" fontId="0" fillId="0" borderId="100" xfId="0" applyBorder="1"/>
    <xf numFmtId="0" fontId="0" fillId="0" borderId="5" xfId="0" applyFont="1" applyBorder="1"/>
    <xf numFmtId="0" fontId="0" fillId="0" borderId="99" xfId="0" applyFont="1" applyBorder="1"/>
    <xf numFmtId="0" fontId="0" fillId="0" borderId="101" xfId="0" applyFont="1" applyBorder="1"/>
    <xf numFmtId="0" fontId="4" fillId="0" borderId="9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2" xfId="0" applyBorder="1"/>
    <xf numFmtId="0" fontId="0" fillId="0" borderId="103" xfId="0" applyBorder="1"/>
    <xf numFmtId="0" fontId="0" fillId="0" borderId="103" xfId="0" applyBorder="1" applyAlignment="1">
      <alignment horizontal="center"/>
    </xf>
    <xf numFmtId="0" fontId="0" fillId="0" borderId="104" xfId="0" applyBorder="1"/>
    <xf numFmtId="0" fontId="0" fillId="0" borderId="105" xfId="0" applyBorder="1"/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98" xfId="0" applyBorder="1" applyAlignment="1">
      <alignment horizontal="center"/>
    </xf>
  </cellXfs>
  <cellStyles count="6">
    <cellStyle name="Comma" xfId="5" builtinId="3"/>
    <cellStyle name="Currency" xfId="1" builtinId="4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Marketing Campaign Results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Chart'!$B$4</c:f>
              <c:strCache>
                <c:ptCount val="1"/>
                <c:pt idx="0">
                  <c:v>Brand A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Chart'!$B$5:$B$10</c:f>
              <c:numCache>
                <c:formatCode>General</c:formatCode>
                <c:ptCount val="6"/>
                <c:pt idx="0">
                  <c:v>23.5</c:v>
                </c:pt>
                <c:pt idx="1">
                  <c:v>13.8</c:v>
                </c:pt>
                <c:pt idx="2">
                  <c:v>17.3</c:v>
                </c:pt>
                <c:pt idx="3">
                  <c:v>14.8</c:v>
                </c:pt>
                <c:pt idx="4">
                  <c:v>7.2</c:v>
                </c:pt>
                <c:pt idx="5">
                  <c:v>29.5</c:v>
                </c:pt>
              </c:numCache>
            </c:numRef>
          </c:val>
        </c:ser>
        <c:ser>
          <c:idx val="1"/>
          <c:order val="1"/>
          <c:tx>
            <c:strRef>
              <c:f>'Bar Chart'!$C$4</c:f>
              <c:strCache>
                <c:ptCount val="1"/>
                <c:pt idx="0">
                  <c:v>Brand B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Chart'!$C$5:$C$10</c:f>
              <c:numCache>
                <c:formatCode>General</c:formatCode>
                <c:ptCount val="6"/>
                <c:pt idx="0">
                  <c:v>12.3</c:v>
                </c:pt>
                <c:pt idx="1">
                  <c:v>8.1</c:v>
                </c:pt>
                <c:pt idx="2">
                  <c:v>4.5</c:v>
                </c:pt>
                <c:pt idx="3">
                  <c:v>6.8</c:v>
                </c:pt>
                <c:pt idx="4">
                  <c:v>4.2</c:v>
                </c:pt>
                <c:pt idx="5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'Bar Chart'!$D$4</c:f>
              <c:strCache>
                <c:ptCount val="1"/>
                <c:pt idx="0">
                  <c:v>Brand C</c:v>
                </c:pt>
              </c:strCache>
            </c:strRef>
          </c:tx>
          <c:invertIfNegative val="0"/>
          <c:cat>
            <c:strRef>
              <c:f>'Bar Chart'!$A$5:$A$10</c:f>
              <c:strCache>
                <c:ptCount val="6"/>
                <c:pt idx="0">
                  <c:v>London</c:v>
                </c:pt>
                <c:pt idx="1">
                  <c:v>Paris</c:v>
                </c:pt>
                <c:pt idx="2">
                  <c:v>Rome</c:v>
                </c:pt>
                <c:pt idx="3">
                  <c:v>Madrid</c:v>
                </c:pt>
                <c:pt idx="4">
                  <c:v>Vienna</c:v>
                </c:pt>
                <c:pt idx="5">
                  <c:v>Berlin</c:v>
                </c:pt>
              </c:strCache>
            </c:strRef>
          </c:cat>
          <c:val>
            <c:numRef>
              <c:f>'Bar Chart'!$D$5:$D$10</c:f>
              <c:numCache>
                <c:formatCode>General</c:formatCode>
                <c:ptCount val="6"/>
                <c:pt idx="0">
                  <c:v>15</c:v>
                </c:pt>
                <c:pt idx="1">
                  <c:v>5.5</c:v>
                </c:pt>
                <c:pt idx="2">
                  <c:v>6.9</c:v>
                </c:pt>
                <c:pt idx="3">
                  <c:v>2.7</c:v>
                </c:pt>
                <c:pt idx="4">
                  <c:v>1.6</c:v>
                </c:pt>
                <c:pt idx="5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333184"/>
        <c:axId val="505333576"/>
      </c:barChart>
      <c:catAx>
        <c:axId val="5053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City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5333576"/>
        <c:crosses val="autoZero"/>
        <c:auto val="1"/>
        <c:lblAlgn val="ctr"/>
        <c:lblOffset val="100"/>
        <c:noMultiLvlLbl val="0"/>
      </c:catAx>
      <c:valAx>
        <c:axId val="505333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Sales (millions of euros)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5333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Average Income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335536"/>
        <c:axId val="498469656"/>
      </c:lineChart>
      <c:catAx>
        <c:axId val="50533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469656"/>
        <c:crosses val="autoZero"/>
        <c:auto val="1"/>
        <c:lblAlgn val="ctr"/>
        <c:lblOffset val="100"/>
        <c:noMultiLvlLbl val="0"/>
      </c:catAx>
      <c:valAx>
        <c:axId val="498469656"/>
        <c:scaling>
          <c:orientation val="minMax"/>
          <c:min val="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Income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533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Income/Rent by 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cat>
            <c:numRef>
              <c:f>'Line Chart 2'!$A$4:$A$13</c:f>
              <c:numCache>
                <c:formatCode>General</c:formatCode>
                <c:ptCount val="10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</c:numCache>
            </c:numRef>
          </c:cat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71224"/>
        <c:axId val="498471616"/>
      </c:lineChart>
      <c:catAx>
        <c:axId val="49847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471616"/>
        <c:crosses val="autoZero"/>
        <c:auto val="1"/>
        <c:lblAlgn val="ctr"/>
        <c:lblOffset val="100"/>
        <c:noMultiLvlLbl val="0"/>
      </c:catAx>
      <c:valAx>
        <c:axId val="498471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Amount ($000)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98471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2'!$B$3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2'!$B$4:$B$13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'Line Chart 2'!$C$3</c:f>
              <c:strCache>
                <c:ptCount val="1"/>
                <c:pt idx="0">
                  <c:v>Rent</c:v>
                </c:pt>
              </c:strCache>
            </c:strRef>
          </c:tx>
          <c:marker>
            <c:symbol val="none"/>
          </c:marker>
          <c:val>
            <c:numRef>
              <c:f>'Line Chart 2'!$C$4:$C$13</c:f>
              <c:numCache>
                <c:formatCode>General</c:formatCode>
                <c:ptCount val="10"/>
                <c:pt idx="0">
                  <c:v>6000</c:v>
                </c:pt>
                <c:pt idx="1">
                  <c:v>6500</c:v>
                </c:pt>
                <c:pt idx="2">
                  <c:v>7000</c:v>
                </c:pt>
                <c:pt idx="3">
                  <c:v>4500</c:v>
                </c:pt>
                <c:pt idx="4">
                  <c:v>6000</c:v>
                </c:pt>
                <c:pt idx="5">
                  <c:v>7500</c:v>
                </c:pt>
                <c:pt idx="6">
                  <c:v>8000</c:v>
                </c:pt>
                <c:pt idx="7">
                  <c:v>9000</c:v>
                </c:pt>
                <c:pt idx="8">
                  <c:v>7000</c:v>
                </c:pt>
                <c:pt idx="9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70048"/>
        <c:axId val="498468872"/>
      </c:lineChart>
      <c:catAx>
        <c:axId val="4984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98468872"/>
        <c:crosses val="autoZero"/>
        <c:auto val="1"/>
        <c:lblAlgn val="ctr"/>
        <c:lblOffset val="100"/>
        <c:noMultiLvlLbl val="0"/>
      </c:catAx>
      <c:valAx>
        <c:axId val="498468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47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Chart 2'!$B$21</c:f>
              <c:strCache>
                <c:ptCount val="1"/>
                <c:pt idx="0">
                  <c:v>Income</c:v>
                </c:pt>
              </c:strCache>
            </c:strRef>
          </c:tx>
          <c:marker>
            <c:symbol val="none"/>
          </c:marker>
          <c:val>
            <c:numRef>
              <c:f>'Line Chart 2'!$B$22:$B$31</c:f>
              <c:numCache>
                <c:formatCode>General</c:formatCode>
                <c:ptCount val="10"/>
                <c:pt idx="0">
                  <c:v>23500</c:v>
                </c:pt>
                <c:pt idx="1">
                  <c:v>24000</c:v>
                </c:pt>
                <c:pt idx="2">
                  <c:v>25000</c:v>
                </c:pt>
                <c:pt idx="3">
                  <c:v>26700</c:v>
                </c:pt>
                <c:pt idx="4">
                  <c:v>27500</c:v>
                </c:pt>
                <c:pt idx="5">
                  <c:v>29200</c:v>
                </c:pt>
                <c:pt idx="6">
                  <c:v>33000</c:v>
                </c:pt>
                <c:pt idx="7">
                  <c:v>35100</c:v>
                </c:pt>
                <c:pt idx="8">
                  <c:v>37400</c:v>
                </c:pt>
                <c:pt idx="9">
                  <c:v>39500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470832"/>
        <c:axId val="498469264"/>
      </c:lineChart>
      <c:catAx>
        <c:axId val="49847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498469264"/>
        <c:crosses val="autoZero"/>
        <c:auto val="1"/>
        <c:lblAlgn val="ctr"/>
        <c:lblOffset val="100"/>
        <c:noMultiLvlLbl val="0"/>
      </c:catAx>
      <c:valAx>
        <c:axId val="49846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47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Operating Performance by District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087D083-53D2-483A-AC91-31B893C3B9E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83AC09-5A00-4B35-9D6F-7496075A50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64E308-7F43-4B32-888A-2D2BC1FF2B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ECB3B7-1414-4B8A-BF38-924FFFBC3D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CCB06A-8484-414A-BB9A-FD46839582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CD0487-D6C5-4621-AB2E-7659C94129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'Scatter Chart'!$B$4:$B$9</c:f>
              <c:numCache>
                <c:formatCode>General</c:formatCode>
                <c:ptCount val="6"/>
                <c:pt idx="0">
                  <c:v>50</c:v>
                </c:pt>
                <c:pt idx="1">
                  <c:v>78</c:v>
                </c:pt>
                <c:pt idx="2">
                  <c:v>65</c:v>
                </c:pt>
                <c:pt idx="3">
                  <c:v>112</c:v>
                </c:pt>
                <c:pt idx="4">
                  <c:v>32</c:v>
                </c:pt>
                <c:pt idx="5">
                  <c:v>101</c:v>
                </c:pt>
              </c:numCache>
            </c:numRef>
          </c:xVal>
          <c:yVal>
            <c:numRef>
              <c:f>'Scatter Chart'!$C$4:$C$9</c:f>
              <c:numCache>
                <c:formatCode>General</c:formatCode>
                <c:ptCount val="6"/>
                <c:pt idx="0">
                  <c:v>74</c:v>
                </c:pt>
                <c:pt idx="1">
                  <c:v>95</c:v>
                </c:pt>
                <c:pt idx="2">
                  <c:v>87</c:v>
                </c:pt>
                <c:pt idx="3">
                  <c:v>156</c:v>
                </c:pt>
                <c:pt idx="4">
                  <c:v>54</c:v>
                </c:pt>
                <c:pt idx="5">
                  <c:v>142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'Scatter Chart'!$A$4:$A$9</c15:f>
                <c15:dlblRangeCache>
                  <c:ptCount val="6"/>
                  <c:pt idx="0">
                    <c:v>E</c:v>
                  </c:pt>
                  <c:pt idx="1">
                    <c:v>NE</c:v>
                  </c:pt>
                  <c:pt idx="2">
                    <c:v>NW</c:v>
                  </c:pt>
                  <c:pt idx="3">
                    <c:v>SE</c:v>
                  </c:pt>
                  <c:pt idx="4">
                    <c:v>SW</c:v>
                  </c:pt>
                  <c:pt idx="5">
                    <c:v>W</c:v>
                  </c:pt>
                </c15:dlblRangeCache>
              </c15:datalabelsRang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81102016"/>
        <c:axId val="781100840"/>
      </c:scatterChart>
      <c:valAx>
        <c:axId val="78110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00840"/>
        <c:crosses val="autoZero"/>
        <c:crossBetween val="midCat"/>
      </c:valAx>
      <c:valAx>
        <c:axId val="78110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 ($M)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0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'Step Chart'!$J$4:$J$14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'Step Chart'!$K$4:$K$14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102408"/>
        <c:axId val="781098880"/>
      </c:scatterChart>
      <c:valAx>
        <c:axId val="781102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098880"/>
        <c:crosses val="autoZero"/>
        <c:crossBetween val="midCat"/>
      </c:valAx>
      <c:valAx>
        <c:axId val="7810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Revenues ($000)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102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Step Chart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Area A</c:v>
          </c:tx>
          <c:xVal>
            <c:numLit>
              <c:formatCode>General</c:formatCode>
              <c:ptCount val="11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6</c:v>
              </c:pt>
              <c:pt idx="10">
                <c:v>6</c:v>
              </c:pt>
            </c:numLit>
          </c:xVal>
          <c:yVal>
            <c:numLit>
              <c:formatCode>General</c:formatCode>
              <c:ptCount val="11"/>
              <c:pt idx="0">
                <c:v>5</c:v>
              </c:pt>
              <c:pt idx="1">
                <c:v>5</c:v>
              </c:pt>
              <c:pt idx="2">
                <c:v>7</c:v>
              </c:pt>
              <c:pt idx="3">
                <c:v>7</c:v>
              </c:pt>
              <c:pt idx="4">
                <c:v>4</c:v>
              </c:pt>
              <c:pt idx="5">
                <c:v>4</c:v>
              </c:pt>
              <c:pt idx="6">
                <c:v>8</c:v>
              </c:pt>
              <c:pt idx="7">
                <c:v>8</c:v>
              </c:pt>
              <c:pt idx="8">
                <c:v>10</c:v>
              </c:pt>
              <c:pt idx="9">
                <c:v>10</c:v>
              </c:pt>
              <c:pt idx="10">
                <c:v>14</c:v>
              </c:pt>
            </c:numLit>
          </c:yVal>
          <c:smooth val="0"/>
        </c:ser>
        <c:ser>
          <c:idx val="1"/>
          <c:order val="1"/>
          <c:tx>
            <c:v>Area B</c:v>
          </c:tx>
          <c:xVal>
            <c:numLit>
              <c:formatCode>General</c:formatCode>
              <c:ptCount val="11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6</c:v>
              </c:pt>
              <c:pt idx="10">
                <c:v>6</c:v>
              </c:pt>
            </c:numLit>
          </c:xVal>
          <c:yVal>
            <c:numLit>
              <c:formatCode>General</c:formatCode>
              <c:ptCount val="11"/>
              <c:pt idx="0">
                <c:v>8</c:v>
              </c:pt>
              <c:pt idx="1">
                <c:v>8</c:v>
              </c:pt>
              <c:pt idx="2">
                <c:v>10</c:v>
              </c:pt>
              <c:pt idx="3">
                <c:v>10</c:v>
              </c:pt>
              <c:pt idx="4">
                <c:v>15</c:v>
              </c:pt>
              <c:pt idx="5">
                <c:v>15</c:v>
              </c:pt>
              <c:pt idx="6">
                <c:v>17</c:v>
              </c:pt>
              <c:pt idx="7">
                <c:v>17</c:v>
              </c:pt>
              <c:pt idx="8">
                <c:v>20</c:v>
              </c:pt>
              <c:pt idx="9">
                <c:v>20</c:v>
              </c:pt>
              <c:pt idx="10">
                <c:v>25</c:v>
              </c:pt>
            </c:numLit>
          </c:yVal>
          <c:smooth val="0"/>
        </c:ser>
        <c:ser>
          <c:idx val="2"/>
          <c:order val="2"/>
          <c:tx>
            <c:v>Area C</c:v>
          </c:tx>
          <c:xVal>
            <c:numLit>
              <c:formatCode>General</c:formatCode>
              <c:ptCount val="11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6</c:v>
              </c:pt>
              <c:pt idx="10">
                <c:v>6</c:v>
              </c:pt>
            </c:numLit>
          </c:xVal>
          <c:yVal>
            <c:numLit>
              <c:formatCode>General</c:formatCode>
              <c:ptCount val="11"/>
              <c:pt idx="0">
                <c:v>3</c:v>
              </c:pt>
              <c:pt idx="1">
                <c:v>3</c:v>
              </c:pt>
              <c:pt idx="2">
                <c:v>5</c:v>
              </c:pt>
              <c:pt idx="3">
                <c:v>5</c:v>
              </c:pt>
              <c:pt idx="4">
                <c:v>10</c:v>
              </c:pt>
              <c:pt idx="5">
                <c:v>10</c:v>
              </c:pt>
              <c:pt idx="6">
                <c:v>10</c:v>
              </c:pt>
              <c:pt idx="7">
                <c:v>10</c:v>
              </c:pt>
              <c:pt idx="8">
                <c:v>15</c:v>
              </c:pt>
              <c:pt idx="9">
                <c:v>15</c:v>
              </c:pt>
              <c:pt idx="10">
                <c:v>20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100056"/>
        <c:axId val="781100448"/>
      </c:scatterChart>
      <c:valAx>
        <c:axId val="781100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100448"/>
        <c:crosses val="autoZero"/>
        <c:crossBetween val="midCat"/>
      </c:valAx>
      <c:valAx>
        <c:axId val="7811004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Revenue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1000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Frequency Function f(x)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'Prob 1'!$B$3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1'!$B$4:$B$11</c:f>
              <c:numCache>
                <c:formatCode>General</c:formatCode>
                <c:ptCount val="8"/>
                <c:pt idx="0">
                  <c:v>0.12</c:v>
                </c:pt>
                <c:pt idx="1">
                  <c:v>0.25</c:v>
                </c:pt>
                <c:pt idx="2">
                  <c:v>0.08</c:v>
                </c:pt>
                <c:pt idx="3">
                  <c:v>0.14000000000000001</c:v>
                </c:pt>
                <c:pt idx="4">
                  <c:v>0.09</c:v>
                </c:pt>
                <c:pt idx="5">
                  <c:v>0.18</c:v>
                </c:pt>
                <c:pt idx="6">
                  <c:v>0.09</c:v>
                </c:pt>
                <c:pt idx="7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14976"/>
        <c:axId val="506916152"/>
      </c:barChart>
      <c:catAx>
        <c:axId val="50691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506916152"/>
        <c:crosses val="autoZero"/>
        <c:auto val="1"/>
        <c:lblAlgn val="ctr"/>
        <c:lblOffset val="100"/>
        <c:noMultiLvlLbl val="0"/>
      </c:catAx>
      <c:valAx>
        <c:axId val="50691615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50691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Distribution Function F(x)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'Prob 1'!$C$3</c:f>
              <c:strCache>
                <c:ptCount val="1"/>
                <c:pt idx="0">
                  <c:v>F(x)</c:v>
                </c:pt>
              </c:strCache>
            </c:strRef>
          </c:tx>
          <c:invertIfNegative val="0"/>
          <c:val>
            <c:numRef>
              <c:f>'Prob 1'!$C$4:$C$11</c:f>
              <c:numCache>
                <c:formatCode>0.00</c:formatCode>
                <c:ptCount val="8"/>
                <c:pt idx="0">
                  <c:v>0.12</c:v>
                </c:pt>
                <c:pt idx="1">
                  <c:v>0.37</c:v>
                </c:pt>
                <c:pt idx="2">
                  <c:v>0.45</c:v>
                </c:pt>
                <c:pt idx="3">
                  <c:v>0.59000000000000008</c:v>
                </c:pt>
                <c:pt idx="4">
                  <c:v>0.68</c:v>
                </c:pt>
                <c:pt idx="5">
                  <c:v>0.8600000000000001</c:v>
                </c:pt>
                <c:pt idx="6">
                  <c:v>0.95000000000000007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15760"/>
        <c:axId val="506913800"/>
      </c:barChart>
      <c:catAx>
        <c:axId val="50691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506913800"/>
        <c:crosses val="autoZero"/>
        <c:auto val="1"/>
        <c:lblAlgn val="ctr"/>
        <c:lblOffset val="100"/>
        <c:noMultiLvlLbl val="0"/>
      </c:catAx>
      <c:valAx>
        <c:axId val="50691380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506915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'Prob 2'!$Q$6:$Q$10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'Prob 2'!$R$6:$R$10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14192"/>
        <c:axId val="506915368"/>
      </c:barChart>
      <c:catAx>
        <c:axId val="50691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6915368"/>
        <c:crosses val="autoZero"/>
        <c:auto val="1"/>
        <c:lblAlgn val="ctr"/>
        <c:lblOffset val="100"/>
        <c:noMultiLvlLbl val="0"/>
      </c:catAx>
      <c:valAx>
        <c:axId val="506915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691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Histogram!$A$19:$A$23</c:f>
              <c:strCache>
                <c:ptCount val="5"/>
                <c:pt idx="0">
                  <c:v>20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More</c:v>
                </c:pt>
              </c:strCache>
            </c:strRef>
          </c:cat>
          <c:val>
            <c:numRef>
              <c:f>Histogram!$B$19:$B$23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099272"/>
        <c:axId val="501043712"/>
      </c:barChart>
      <c:catAx>
        <c:axId val="781099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Bin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1043712"/>
        <c:crosses val="autoZero"/>
        <c:auto val="1"/>
        <c:lblAlgn val="ctr"/>
        <c:lblOffset val="100"/>
        <c:noMultiLvlLbl val="0"/>
      </c:catAx>
      <c:valAx>
        <c:axId val="501043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1099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Histogram!$Q$9:$Q$14</c:f>
              <c:numCache>
                <c:formatCode>General</c:formatCode>
                <c:ptCount val="6"/>
                <c:pt idx="0">
                  <c:v>15</c:v>
                </c:pt>
                <c:pt idx="1">
                  <c:v>30</c:v>
                </c:pt>
                <c:pt idx="2">
                  <c:v>45</c:v>
                </c:pt>
                <c:pt idx="3">
                  <c:v>60</c:v>
                </c:pt>
                <c:pt idx="4">
                  <c:v>75</c:v>
                </c:pt>
                <c:pt idx="5">
                  <c:v>90</c:v>
                </c:pt>
              </c:numCache>
            </c:numRef>
          </c:cat>
          <c:val>
            <c:numRef>
              <c:f>Histogram!$R$9:$R$14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045672"/>
        <c:axId val="501044104"/>
      </c:barChart>
      <c:catAx>
        <c:axId val="501045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1044104"/>
        <c:crosses val="autoZero"/>
        <c:auto val="1"/>
        <c:lblAlgn val="ctr"/>
        <c:lblOffset val="100"/>
        <c:noMultiLvlLbl val="0"/>
      </c:catAx>
      <c:valAx>
        <c:axId val="501044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1045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Histogram!$Q$27:$Q$33</c:f>
              <c:numCache>
                <c:formatCode>General</c:formatCode>
                <c:ptCount val="7"/>
                <c:pt idx="0">
                  <c:v>10</c:v>
                </c:pt>
                <c:pt idx="1">
                  <c:v>25</c:v>
                </c:pt>
                <c:pt idx="2">
                  <c:v>40</c:v>
                </c:pt>
                <c:pt idx="3">
                  <c:v>55</c:v>
                </c:pt>
                <c:pt idx="4">
                  <c:v>70</c:v>
                </c:pt>
                <c:pt idx="5">
                  <c:v>85</c:v>
                </c:pt>
                <c:pt idx="6">
                  <c:v>100</c:v>
                </c:pt>
              </c:numCache>
            </c:numRef>
          </c:cat>
          <c:val>
            <c:numRef>
              <c:f>Histogram!$R$27:$R$33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044888"/>
        <c:axId val="501046064"/>
      </c:barChart>
      <c:catAx>
        <c:axId val="50104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1046064"/>
        <c:crosses val="autoZero"/>
        <c:auto val="1"/>
        <c:lblAlgn val="ctr"/>
        <c:lblOffset val="100"/>
        <c:noMultiLvlLbl val="0"/>
      </c:catAx>
      <c:valAx>
        <c:axId val="501046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1044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1'!$K$4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1'!$L$4:$N$4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</c:ser>
        <c:ser>
          <c:idx val="1"/>
          <c:order val="1"/>
          <c:tx>
            <c:strRef>
              <c:f>'Box Plot 1'!$K$5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1'!$L$5:$N$5</c:f>
              <c:numCache>
                <c:formatCode>General</c:formatCode>
                <c:ptCount val="3"/>
                <c:pt idx="0">
                  <c:v>142.5</c:v>
                </c:pt>
                <c:pt idx="1">
                  <c:v>185</c:v>
                </c:pt>
                <c:pt idx="2">
                  <c:v>342.5</c:v>
                </c:pt>
              </c:numCache>
            </c:numRef>
          </c:val>
        </c:ser>
        <c:ser>
          <c:idx val="2"/>
          <c:order val="2"/>
          <c:tx>
            <c:strRef>
              <c:f>'Box Plot 1'!$K$6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1'!$L$6:$N$6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</c:ser>
        <c:ser>
          <c:idx val="3"/>
          <c:order val="3"/>
          <c:tx>
            <c:strRef>
              <c:f>'Box Plot 1'!$K$7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1'!$L$8:$N$8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1'!$L$7:$N$7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1042928"/>
        <c:axId val="501043320"/>
      </c:barChart>
      <c:catAx>
        <c:axId val="50104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1043320"/>
        <c:crosses val="autoZero"/>
        <c:auto val="1"/>
        <c:lblAlgn val="ctr"/>
        <c:lblOffset val="100"/>
        <c:noMultiLvlLbl val="0"/>
      </c:catAx>
      <c:valAx>
        <c:axId val="501043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104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1'!$E$24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1'!$F$24:$H$24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</c:ser>
        <c:ser>
          <c:idx val="1"/>
          <c:order val="1"/>
          <c:tx>
            <c:strRef>
              <c:f>'Box Plot 1'!$E$25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1'!$F$25:$H$25</c:f>
              <c:numCache>
                <c:formatCode>General</c:formatCode>
                <c:ptCount val="3"/>
                <c:pt idx="0">
                  <c:v>125</c:v>
                </c:pt>
                <c:pt idx="1">
                  <c:v>112.5</c:v>
                </c:pt>
                <c:pt idx="2">
                  <c:v>305</c:v>
                </c:pt>
              </c:numCache>
            </c:numRef>
          </c:val>
        </c:ser>
        <c:ser>
          <c:idx val="2"/>
          <c:order val="2"/>
          <c:tx>
            <c:strRef>
              <c:f>'Box Plot 1'!$E$26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1'!$F$26:$H$26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</c:ser>
        <c:ser>
          <c:idx val="3"/>
          <c:order val="3"/>
          <c:tx>
            <c:strRef>
              <c:f>'Box Plot 1'!$E$27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1'!$F$28:$H$28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1'!$F$27:$H$27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707496"/>
        <c:axId val="49970788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1'!$F$29:$H$29</c:f>
              <c:numCache>
                <c:formatCode>General</c:formatCode>
                <c:ptCount val="3"/>
                <c:pt idx="0">
                  <c:v>784</c:v>
                </c:pt>
                <c:pt idx="1">
                  <c:v>756</c:v>
                </c:pt>
                <c:pt idx="2">
                  <c:v>1010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707496"/>
        <c:axId val="499707888"/>
      </c:scatterChart>
      <c:catAx>
        <c:axId val="49970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9707888"/>
        <c:crosses val="autoZero"/>
        <c:auto val="1"/>
        <c:lblAlgn val="ctr"/>
        <c:lblOffset val="100"/>
        <c:noMultiLvlLbl val="0"/>
      </c:catAx>
      <c:valAx>
        <c:axId val="49970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707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2'!$E$4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 Plot 2'!$F$7:$H$7</c:f>
                <c:numCache>
                  <c:formatCode>General</c:formatCode>
                  <c:ptCount val="3"/>
                  <c:pt idx="0">
                    <c:v>142.5</c:v>
                  </c:pt>
                  <c:pt idx="1">
                    <c:v>785</c:v>
                  </c:pt>
                  <c:pt idx="2">
                    <c:v>342.5</c:v>
                  </c:pt>
                </c:numCache>
              </c:numRef>
            </c:minus>
          </c:errBars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2'!$F$4:$H$4</c:f>
              <c:numCache>
                <c:formatCode>General</c:formatCode>
                <c:ptCount val="3"/>
                <c:pt idx="0">
                  <c:v>522.5</c:v>
                </c:pt>
                <c:pt idx="1">
                  <c:v>485</c:v>
                </c:pt>
                <c:pt idx="2">
                  <c:v>772.5</c:v>
                </c:pt>
              </c:numCache>
            </c:numRef>
          </c:val>
        </c:ser>
        <c:ser>
          <c:idx val="1"/>
          <c:order val="1"/>
          <c:tx>
            <c:strRef>
              <c:f>'Box Plot 2'!$E$5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2'!$F$5:$H$5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</c:ser>
        <c:ser>
          <c:idx val="2"/>
          <c:order val="2"/>
          <c:tx>
            <c:strRef>
              <c:f>'Box Plot 2'!$E$6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2'!$F$8:$H$8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2'!$F$6:$H$6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708672"/>
        <c:axId val="499705144"/>
      </c:barChart>
      <c:catAx>
        <c:axId val="49970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9705144"/>
        <c:crosses val="autoZero"/>
        <c:auto val="1"/>
        <c:lblAlgn val="ctr"/>
        <c:lblOffset val="100"/>
        <c:noMultiLvlLbl val="0"/>
      </c:catAx>
      <c:valAx>
        <c:axId val="499705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70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2'!$E$4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 Plot 2'!$F$7:$H$7</c:f>
                <c:numCache>
                  <c:formatCode>General</c:formatCode>
                  <c:ptCount val="3"/>
                  <c:pt idx="0">
                    <c:v>142.5</c:v>
                  </c:pt>
                  <c:pt idx="1">
                    <c:v>785</c:v>
                  </c:pt>
                  <c:pt idx="2">
                    <c:v>342.5</c:v>
                  </c:pt>
                </c:numCache>
              </c:numRef>
            </c:minus>
          </c:errBars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2'!$F$4:$H$4</c:f>
              <c:numCache>
                <c:formatCode>General</c:formatCode>
                <c:ptCount val="3"/>
                <c:pt idx="0">
                  <c:v>522.5</c:v>
                </c:pt>
                <c:pt idx="1">
                  <c:v>485</c:v>
                </c:pt>
                <c:pt idx="2">
                  <c:v>772.5</c:v>
                </c:pt>
              </c:numCache>
            </c:numRef>
          </c:val>
        </c:ser>
        <c:ser>
          <c:idx val="1"/>
          <c:order val="1"/>
          <c:tx>
            <c:strRef>
              <c:f>'Box Plot 2'!$E$24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2'!$F$24:$H$24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</c:ser>
        <c:ser>
          <c:idx val="2"/>
          <c:order val="2"/>
          <c:tx>
            <c:strRef>
              <c:f>'Box Plot 2'!$E$25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2'!$F$8:$H$8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2'!$F$25:$H$25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706712"/>
        <c:axId val="499705928"/>
      </c:barChart>
      <c:catAx>
        <c:axId val="49970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9705928"/>
        <c:crosses val="autoZero"/>
        <c:auto val="1"/>
        <c:lblAlgn val="ctr"/>
        <c:lblOffset val="100"/>
        <c:noMultiLvlLbl val="0"/>
      </c:catAx>
      <c:valAx>
        <c:axId val="499705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9706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3'!$E$6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3'!$F$6:$H$6</c:f>
              <c:numCache>
                <c:formatCode>General</c:formatCode>
                <c:ptCount val="3"/>
                <c:pt idx="0">
                  <c:v>680</c:v>
                </c:pt>
                <c:pt idx="1">
                  <c:v>0</c:v>
                </c:pt>
                <c:pt idx="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'Box Plot 3'!$E$7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3'!$F$7:$H$7</c:f>
              <c:numCache>
                <c:formatCode>General</c:formatCode>
                <c:ptCount val="3"/>
                <c:pt idx="0">
                  <c:v>125</c:v>
                </c:pt>
                <c:pt idx="1">
                  <c:v>712.5</c:v>
                </c:pt>
                <c:pt idx="2">
                  <c:v>305</c:v>
                </c:pt>
              </c:numCache>
            </c:numRef>
          </c:val>
        </c:ser>
        <c:ser>
          <c:idx val="2"/>
          <c:order val="2"/>
          <c:tx>
            <c:strRef>
              <c:f>'Box Plot 3'!$E$8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3'!$F$8:$H$8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</c:ser>
        <c:ser>
          <c:idx val="3"/>
          <c:order val="3"/>
          <c:tx>
            <c:strRef>
              <c:f>'Box Plot 3'!$E$9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3'!$F$10:$H$10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3'!$F$9:$H$9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145416"/>
        <c:axId val="49814384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3'!$F$11:$H$11</c:f>
              <c:numCache>
                <c:formatCode>General</c:formatCode>
                <c:ptCount val="3"/>
                <c:pt idx="0">
                  <c:v>1084</c:v>
                </c:pt>
                <c:pt idx="1">
                  <c:v>996</c:v>
                </c:pt>
                <c:pt idx="2">
                  <c:v>1310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45416"/>
        <c:axId val="498143848"/>
      </c:scatterChart>
      <c:scatterChart>
        <c:scatterStyle val="lineMarker"/>
        <c:varyColors val="0"/>
        <c:ser>
          <c:idx val="5"/>
          <c:order val="5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46592"/>
        <c:axId val="498146200"/>
      </c:scatterChart>
      <c:catAx>
        <c:axId val="49814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8143848"/>
        <c:crosses val="autoZero"/>
        <c:auto val="1"/>
        <c:lblAlgn val="ctr"/>
        <c:lblOffset val="100"/>
        <c:noMultiLvlLbl val="0"/>
      </c:catAx>
      <c:valAx>
        <c:axId val="49814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8145416"/>
        <c:crosses val="autoZero"/>
        <c:crossBetween val="between"/>
      </c:valAx>
      <c:valAx>
        <c:axId val="498146200"/>
        <c:scaling>
          <c:orientation val="minMax"/>
          <c:max val="2200"/>
          <c:min val="-300"/>
        </c:scaling>
        <c:delete val="0"/>
        <c:axPos val="r"/>
        <c:numFmt formatCode="General" sourceLinked="1"/>
        <c:majorTickMark val="out"/>
        <c:minorTickMark val="none"/>
        <c:tickLblPos val="nextTo"/>
        <c:crossAx val="498146592"/>
        <c:crosses val="max"/>
        <c:crossBetween val="midCat"/>
      </c:valAx>
      <c:valAx>
        <c:axId val="49814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98146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3'!$E$22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3'!$F$22:$H$22</c:f>
              <c:numCache>
                <c:formatCode>General</c:formatCode>
                <c:ptCount val="3"/>
                <c:pt idx="0">
                  <c:v>680</c:v>
                </c:pt>
                <c:pt idx="1">
                  <c:v>0</c:v>
                </c:pt>
                <c:pt idx="2">
                  <c:v>730</c:v>
                </c:pt>
              </c:numCache>
            </c:numRef>
          </c:val>
        </c:ser>
        <c:ser>
          <c:idx val="1"/>
          <c:order val="1"/>
          <c:tx>
            <c:strRef>
              <c:f>'Box Plot 3'!$E$23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3'!$F$23:$H$23</c:f>
              <c:numCache>
                <c:formatCode>General</c:formatCode>
                <c:ptCount val="3"/>
                <c:pt idx="0">
                  <c:v>125</c:v>
                </c:pt>
                <c:pt idx="1">
                  <c:v>712.5</c:v>
                </c:pt>
                <c:pt idx="2">
                  <c:v>305</c:v>
                </c:pt>
              </c:numCache>
            </c:numRef>
          </c:val>
        </c:ser>
        <c:ser>
          <c:idx val="2"/>
          <c:order val="2"/>
          <c:tx>
            <c:strRef>
              <c:f>'Box Plot 3'!$E$24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3'!$F$24:$H$24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</c:ser>
        <c:ser>
          <c:idx val="3"/>
          <c:order val="3"/>
          <c:tx>
            <c:strRef>
              <c:f>'Box Plot 3'!$E$25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3'!$F$26:$H$26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3'!$F$25:$H$25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144240"/>
        <c:axId val="49814463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3'!$F$27:$H$27</c:f>
              <c:numCache>
                <c:formatCode>General</c:formatCode>
                <c:ptCount val="3"/>
                <c:pt idx="0">
                  <c:v>1084</c:v>
                </c:pt>
                <c:pt idx="1">
                  <c:v>996</c:v>
                </c:pt>
                <c:pt idx="2">
                  <c:v>1310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44240"/>
        <c:axId val="498144632"/>
      </c:scatterChart>
      <c:scatterChart>
        <c:scatterStyle val="lineMarker"/>
        <c:varyColors val="0"/>
        <c:ser>
          <c:idx val="5"/>
          <c:order val="5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145024"/>
        <c:axId val="498143064"/>
      </c:scatterChart>
      <c:catAx>
        <c:axId val="49814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8144632"/>
        <c:crosses val="autoZero"/>
        <c:auto val="1"/>
        <c:lblAlgn val="ctr"/>
        <c:lblOffset val="100"/>
        <c:noMultiLvlLbl val="0"/>
      </c:catAx>
      <c:valAx>
        <c:axId val="498144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498144240"/>
        <c:crosses val="autoZero"/>
        <c:crossBetween val="between"/>
      </c:valAx>
      <c:valAx>
        <c:axId val="498143064"/>
        <c:scaling>
          <c:orientation val="minMax"/>
          <c:max val="2200"/>
          <c:min val="-300"/>
        </c:scaling>
        <c:delete val="0"/>
        <c:axPos val="r"/>
        <c:numFmt formatCode="General" sourceLinked="1"/>
        <c:majorTickMark val="out"/>
        <c:minorTickMark val="none"/>
        <c:tickLblPos val="nextTo"/>
        <c:crossAx val="498145024"/>
        <c:crosses val="max"/>
        <c:crossBetween val="midCat"/>
      </c:valAx>
      <c:valAx>
        <c:axId val="498145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98143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4'!$E$5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4'!$F$4:$H$4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4'!$F$5:$H$5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</c:ser>
        <c:ser>
          <c:idx val="1"/>
          <c:order val="1"/>
          <c:tx>
            <c:strRef>
              <c:f>'Box Plot 4'!$E$6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4'!$F$4:$H$4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4'!$F$6:$H$6</c:f>
              <c:numCache>
                <c:formatCode>General</c:formatCode>
                <c:ptCount val="3"/>
                <c:pt idx="0">
                  <c:v>142.5</c:v>
                </c:pt>
                <c:pt idx="1">
                  <c:v>185</c:v>
                </c:pt>
                <c:pt idx="2">
                  <c:v>342.5</c:v>
                </c:pt>
              </c:numCache>
            </c:numRef>
          </c:val>
        </c:ser>
        <c:ser>
          <c:idx val="2"/>
          <c:order val="2"/>
          <c:tx>
            <c:strRef>
              <c:f>'Box Plot 4'!$E$7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4'!$F$4:$H$4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4'!$F$7:$H$7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</c:ser>
        <c:ser>
          <c:idx val="3"/>
          <c:order val="3"/>
          <c:tx>
            <c:strRef>
              <c:f>'Box Plot 4'!$E$8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4'!$F$9:$H$9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115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4'!$F$4:$H$4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4'!$F$8:$H$8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08432"/>
        <c:axId val="50290529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4'!$F$10:$H$10</c:f>
              <c:numCache>
                <c:formatCode>General</c:formatCode>
                <c:ptCount val="3"/>
                <c:pt idx="0">
                  <c:v>784</c:v>
                </c:pt>
                <c:pt idx="1">
                  <c:v>756</c:v>
                </c:pt>
                <c:pt idx="2">
                  <c:v>1010</c:v>
                </c:pt>
              </c:numCache>
            </c:numRef>
          </c:yVal>
          <c:smooth val="0"/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2</c:v>
              </c:pt>
            </c:numLit>
          </c:xVal>
          <c:yVal>
            <c:numRef>
              <c:f>'Box Plot 4'!$G$21</c:f>
              <c:numCache>
                <c:formatCode>General</c:formatCode>
                <c:ptCount val="1"/>
                <c:pt idx="0">
                  <c:v>1850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08432"/>
        <c:axId val="502905296"/>
      </c:scatterChart>
      <c:catAx>
        <c:axId val="50290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2905296"/>
        <c:crosses val="autoZero"/>
        <c:auto val="1"/>
        <c:lblAlgn val="ctr"/>
        <c:lblOffset val="100"/>
        <c:noMultiLvlLbl val="0"/>
      </c:catAx>
      <c:valAx>
        <c:axId val="50290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90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5'!$E$5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5'!$F$4:$H$4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5'!$F$5:$H$5</c:f>
              <c:numCache>
                <c:formatCode>General</c:formatCode>
                <c:ptCount val="3"/>
                <c:pt idx="0">
                  <c:v>380</c:v>
                </c:pt>
                <c:pt idx="1">
                  <c:v>360</c:v>
                </c:pt>
                <c:pt idx="2">
                  <c:v>430</c:v>
                </c:pt>
              </c:numCache>
            </c:numRef>
          </c:val>
        </c:ser>
        <c:ser>
          <c:idx val="1"/>
          <c:order val="1"/>
          <c:tx>
            <c:strRef>
              <c:f>'Box Plot 5'!$E$6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5'!$F$4:$H$4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5'!$F$6:$H$6</c:f>
              <c:numCache>
                <c:formatCode>General</c:formatCode>
                <c:ptCount val="3"/>
                <c:pt idx="0">
                  <c:v>142.5</c:v>
                </c:pt>
                <c:pt idx="1">
                  <c:v>125</c:v>
                </c:pt>
                <c:pt idx="2">
                  <c:v>342.5</c:v>
                </c:pt>
              </c:numCache>
            </c:numRef>
          </c:val>
        </c:ser>
        <c:ser>
          <c:idx val="2"/>
          <c:order val="2"/>
          <c:tx>
            <c:strRef>
              <c:f>'Box Plot 5'!$E$7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5'!$F$4:$H$4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5'!$F$7:$H$7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</c:ser>
        <c:ser>
          <c:idx val="3"/>
          <c:order val="3"/>
          <c:tx>
            <c:strRef>
              <c:f>'Box Plot 5'!$E$8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5'!$F$9:$H$9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115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5'!$F$4:$H$4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5'!$F$8:$H$8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06080"/>
        <c:axId val="502908824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5'!$F$10:$H$10</c:f>
              <c:numCache>
                <c:formatCode>General</c:formatCode>
                <c:ptCount val="3"/>
                <c:pt idx="0">
                  <c:v>784</c:v>
                </c:pt>
                <c:pt idx="1">
                  <c:v>696</c:v>
                </c:pt>
                <c:pt idx="2">
                  <c:v>1010</c:v>
                </c:pt>
              </c:numCache>
            </c:numRef>
          </c:yVal>
          <c:smooth val="0"/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'Box Plot 5'!$G$21:$G$22</c:f>
              <c:numCache>
                <c:formatCode>General</c:formatCode>
                <c:ptCount val="2"/>
                <c:pt idx="0">
                  <c:v>1850</c:v>
                </c:pt>
                <c:pt idx="1">
                  <c:v>-300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06080"/>
        <c:axId val="502908824"/>
      </c:scatterChart>
      <c:catAx>
        <c:axId val="5029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2908824"/>
        <c:crosses val="autoZero"/>
        <c:auto val="1"/>
        <c:lblAlgn val="ctr"/>
        <c:lblOffset val="100"/>
        <c:noMultiLvlLbl val="0"/>
      </c:catAx>
      <c:valAx>
        <c:axId val="502908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90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6'!$E$6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6'!$F$5:$H$5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6'!$F$6:$H$6</c:f>
              <c:numCache>
                <c:formatCode>General</c:formatCode>
                <c:ptCount val="3"/>
                <c:pt idx="0">
                  <c:v>720</c:v>
                </c:pt>
                <c:pt idx="1">
                  <c:v>0</c:v>
                </c:pt>
                <c:pt idx="2">
                  <c:v>480</c:v>
                </c:pt>
              </c:numCache>
            </c:numRef>
          </c:val>
        </c:ser>
        <c:ser>
          <c:idx val="1"/>
          <c:order val="1"/>
          <c:tx>
            <c:strRef>
              <c:f>'Box Plot 6'!$E$7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6'!$F$5:$H$5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6'!$F$7:$H$7</c:f>
              <c:numCache>
                <c:formatCode>General</c:formatCode>
                <c:ptCount val="3"/>
                <c:pt idx="0">
                  <c:v>87.5</c:v>
                </c:pt>
                <c:pt idx="1">
                  <c:v>427.5</c:v>
                </c:pt>
                <c:pt idx="2">
                  <c:v>342.5</c:v>
                </c:pt>
              </c:numCache>
            </c:numRef>
          </c:val>
        </c:ser>
        <c:ser>
          <c:idx val="2"/>
          <c:order val="2"/>
          <c:tx>
            <c:strRef>
              <c:f>'Box Plot 6'!$E$8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6'!$F$5:$H$5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6'!$F$8:$H$8</c:f>
              <c:numCache>
                <c:formatCode>General</c:formatCode>
                <c:ptCount val="3"/>
                <c:pt idx="0">
                  <c:v>82.5</c:v>
                </c:pt>
                <c:pt idx="1">
                  <c:v>192.5</c:v>
                </c:pt>
                <c:pt idx="2">
                  <c:v>132.5</c:v>
                </c:pt>
              </c:numCache>
            </c:numRef>
          </c:val>
        </c:ser>
        <c:ser>
          <c:idx val="3"/>
          <c:order val="3"/>
          <c:tx>
            <c:strRef>
              <c:f>'Box Plot 6'!$E$9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6'!$F$10:$H$10</c:f>
                <c:numCache>
                  <c:formatCode>General</c:formatCode>
                  <c:ptCount val="3"/>
                  <c:pt idx="0">
                    <c:v>457.5</c:v>
                  </c:pt>
                  <c:pt idx="1">
                    <c:v>175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6'!$F$5:$H$5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6'!$F$9:$H$9</c:f>
              <c:numCache>
                <c:formatCode>General</c:formatCode>
                <c:ptCount val="3"/>
                <c:pt idx="0">
                  <c:v>352.5</c:v>
                </c:pt>
                <c:pt idx="1">
                  <c:v>195</c:v>
                </c:pt>
                <c:pt idx="2">
                  <c:v>332.5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2908040"/>
        <c:axId val="50290568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6'!$F$11:$H$11</c:f>
              <c:numCache>
                <c:formatCode>General</c:formatCode>
                <c:ptCount val="3"/>
                <c:pt idx="0">
                  <c:v>989</c:v>
                </c:pt>
                <c:pt idx="1">
                  <c:v>637</c:v>
                </c:pt>
                <c:pt idx="2">
                  <c:v>1060</c:v>
                </c:pt>
              </c:numCache>
            </c:numRef>
          </c:yVal>
          <c:smooth val="0"/>
        </c:ser>
        <c:ser>
          <c:idx val="5"/>
          <c:order val="5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'Box Plot 6'!$F$22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x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xVal>
          <c:yVal>
            <c:numRef>
              <c:f>'Box Plot 6'!$G$22:$G$23</c:f>
              <c:numCache>
                <c:formatCode>General</c:formatCode>
                <c:ptCount val="2"/>
                <c:pt idx="0">
                  <c:v>1900</c:v>
                </c:pt>
                <c:pt idx="1">
                  <c:v>-250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08040"/>
        <c:axId val="502905688"/>
      </c:scatterChart>
      <c:scatterChart>
        <c:scatterStyle val="lineMarker"/>
        <c:varyColors val="0"/>
        <c:ser>
          <c:idx val="7"/>
          <c:order val="7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907256"/>
        <c:axId val="502906864"/>
      </c:scatterChart>
      <c:catAx>
        <c:axId val="50290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2905688"/>
        <c:crosses val="autoZero"/>
        <c:auto val="1"/>
        <c:lblAlgn val="ctr"/>
        <c:lblOffset val="100"/>
        <c:noMultiLvlLbl val="0"/>
      </c:catAx>
      <c:valAx>
        <c:axId val="502905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908040"/>
        <c:crosses val="autoZero"/>
        <c:crossBetween val="between"/>
      </c:valAx>
      <c:valAx>
        <c:axId val="502906864"/>
        <c:scaling>
          <c:orientation val="minMax"/>
          <c:max val="2450"/>
          <c:min val="-550"/>
        </c:scaling>
        <c:delete val="0"/>
        <c:axPos val="r"/>
        <c:numFmt formatCode="General" sourceLinked="1"/>
        <c:majorTickMark val="out"/>
        <c:minorTickMark val="none"/>
        <c:tickLblPos val="nextTo"/>
        <c:crossAx val="502907256"/>
        <c:crosses val="max"/>
        <c:crossBetween val="midCat"/>
      </c:valAx>
      <c:valAx>
        <c:axId val="502907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02906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Dot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'Dot 1'!$A$15:$C$15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'Dot 1'!$A$16:$C$16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3634216"/>
        <c:axId val="503635784"/>
      </c:barChart>
      <c:scatterChart>
        <c:scatterStyle val="lineMarker"/>
        <c:varyColors val="0"/>
        <c:ser>
          <c:idx val="1"/>
          <c:order val="1"/>
          <c:tx>
            <c:strRef>
              <c:f>'Dot 1'!$F$3</c:f>
              <c:strCache>
                <c:ptCount val="1"/>
                <c:pt idx="0">
                  <c:v>Brand 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'Dot 1'!$E$4:$E$13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'Dot 1'!$F$4:$F$13</c:f>
              <c:numCache>
                <c:formatCode>General</c:formatCode>
                <c:ptCount val="10"/>
                <c:pt idx="0">
                  <c:v>1020</c:v>
                </c:pt>
                <c:pt idx="1">
                  <c:v>1560</c:v>
                </c:pt>
                <c:pt idx="2">
                  <c:v>560</c:v>
                </c:pt>
                <c:pt idx="3">
                  <c:v>780</c:v>
                </c:pt>
                <c:pt idx="4">
                  <c:v>990</c:v>
                </c:pt>
                <c:pt idx="5">
                  <c:v>670</c:v>
                </c:pt>
                <c:pt idx="6">
                  <c:v>510</c:v>
                </c:pt>
                <c:pt idx="7">
                  <c:v>490</c:v>
                </c:pt>
                <c:pt idx="8">
                  <c:v>380</c:v>
                </c:pt>
                <c:pt idx="9">
                  <c:v>880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'Dot 1'!$H$3</c:f>
              <c:strCache>
                <c:ptCount val="1"/>
                <c:pt idx="0">
                  <c:v>Brand B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'Dot 1'!$G$4:$G$13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xVal>
          <c:yVal>
            <c:numRef>
              <c:f>'Dot 1'!$H$4:$H$13</c:f>
              <c:numCache>
                <c:formatCode>General</c:formatCode>
                <c:ptCount val="10"/>
                <c:pt idx="0">
                  <c:v>840</c:v>
                </c:pt>
                <c:pt idx="1">
                  <c:v>940</c:v>
                </c:pt>
                <c:pt idx="2">
                  <c:v>780</c:v>
                </c:pt>
                <c:pt idx="3">
                  <c:v>650</c:v>
                </c:pt>
                <c:pt idx="4">
                  <c:v>720</c:v>
                </c:pt>
                <c:pt idx="5">
                  <c:v>430</c:v>
                </c:pt>
                <c:pt idx="6">
                  <c:v>1850</c:v>
                </c:pt>
                <c:pt idx="7">
                  <c:v>300</c:v>
                </c:pt>
                <c:pt idx="8">
                  <c:v>360</c:v>
                </c:pt>
                <c:pt idx="9">
                  <c:v>690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'Dot 1'!$J$3</c:f>
              <c:strCache>
                <c:ptCount val="1"/>
                <c:pt idx="0">
                  <c:v>Brand 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'Dot 1'!$I$4:$I$13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'Dot 1'!$J$4:$J$13</c:f>
              <c:numCache>
                <c:formatCode>General</c:formatCode>
                <c:ptCount val="10"/>
                <c:pt idx="0">
                  <c:v>1430</c:v>
                </c:pt>
                <c:pt idx="1">
                  <c:v>1750</c:v>
                </c:pt>
                <c:pt idx="2">
                  <c:v>870</c:v>
                </c:pt>
                <c:pt idx="3">
                  <c:v>920</c:v>
                </c:pt>
                <c:pt idx="4">
                  <c:v>1300</c:v>
                </c:pt>
                <c:pt idx="5">
                  <c:v>890</c:v>
                </c:pt>
                <c:pt idx="6">
                  <c:v>740</c:v>
                </c:pt>
                <c:pt idx="7">
                  <c:v>720</c:v>
                </c:pt>
                <c:pt idx="8">
                  <c:v>430</c:v>
                </c:pt>
                <c:pt idx="9">
                  <c:v>1050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34216"/>
        <c:axId val="503635784"/>
      </c:scatterChart>
      <c:catAx>
        <c:axId val="50363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35784"/>
        <c:crosses val="autoZero"/>
        <c:auto val="1"/>
        <c:lblAlgn val="ctr"/>
        <c:lblOffset val="100"/>
        <c:noMultiLvlLbl val="0"/>
      </c:catAx>
      <c:valAx>
        <c:axId val="50363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63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Dot Plot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'Dot 2'!$A$3:$C$3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636568"/>
        <c:axId val="503633824"/>
      </c:barChart>
      <c:scatterChart>
        <c:scatterStyle val="lineMarker"/>
        <c:varyColors val="0"/>
        <c:ser>
          <c:idx val="1"/>
          <c:order val="1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</c:numLit>
          </c:xVal>
          <c:yVal>
            <c:numRef>
              <c:f>'Dot 2'!$A$4:$A$13</c:f>
              <c:numCache>
                <c:formatCode>General</c:formatCode>
                <c:ptCount val="10"/>
                <c:pt idx="0">
                  <c:v>1020</c:v>
                </c:pt>
                <c:pt idx="1">
                  <c:v>1560</c:v>
                </c:pt>
                <c:pt idx="2">
                  <c:v>560</c:v>
                </c:pt>
                <c:pt idx="3">
                  <c:v>780</c:v>
                </c:pt>
                <c:pt idx="4">
                  <c:v>990</c:v>
                </c:pt>
                <c:pt idx="5">
                  <c:v>670</c:v>
                </c:pt>
                <c:pt idx="6">
                  <c:v>510</c:v>
                </c:pt>
                <c:pt idx="7">
                  <c:v>490</c:v>
                </c:pt>
                <c:pt idx="8">
                  <c:v>380</c:v>
                </c:pt>
                <c:pt idx="9">
                  <c:v>880</c:v>
                </c:pt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</c:numLit>
          </c:xVal>
          <c:yVal>
            <c:numRef>
              <c:f>'Dot 2'!$B$4:$B$13</c:f>
              <c:numCache>
                <c:formatCode>General</c:formatCode>
                <c:ptCount val="10"/>
                <c:pt idx="0">
                  <c:v>840</c:v>
                </c:pt>
                <c:pt idx="1">
                  <c:v>940</c:v>
                </c:pt>
                <c:pt idx="2">
                  <c:v>780</c:v>
                </c:pt>
                <c:pt idx="3">
                  <c:v>650</c:v>
                </c:pt>
                <c:pt idx="4">
                  <c:v>720</c:v>
                </c:pt>
                <c:pt idx="5">
                  <c:v>430</c:v>
                </c:pt>
                <c:pt idx="6">
                  <c:v>1850</c:v>
                </c:pt>
                <c:pt idx="7">
                  <c:v>300</c:v>
                </c:pt>
                <c:pt idx="8">
                  <c:v>360</c:v>
                </c:pt>
                <c:pt idx="9">
                  <c:v>690</c:v>
                </c:pt>
              </c:numCache>
            </c:numRef>
          </c:yVal>
          <c:smooth val="0"/>
        </c:ser>
        <c:ser>
          <c:idx val="3"/>
          <c:order val="3"/>
          <c:spPr>
            <a:ln w="19050">
              <a:noFill/>
            </a:ln>
          </c:spPr>
          <c:marker>
            <c:symbol val="circle"/>
            <c:size val="5"/>
          </c:marker>
          <c:xVal>
            <c:numLit>
              <c:formatCode>General</c:formatCode>
              <c:ptCount val="10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</c:numLit>
          </c:xVal>
          <c:yVal>
            <c:numRef>
              <c:f>'Dot 2'!$C$4:$C$13</c:f>
              <c:numCache>
                <c:formatCode>General</c:formatCode>
                <c:ptCount val="10"/>
                <c:pt idx="0">
                  <c:v>1430</c:v>
                </c:pt>
                <c:pt idx="1">
                  <c:v>1750</c:v>
                </c:pt>
                <c:pt idx="2">
                  <c:v>870</c:v>
                </c:pt>
                <c:pt idx="3">
                  <c:v>920</c:v>
                </c:pt>
                <c:pt idx="4">
                  <c:v>1300</c:v>
                </c:pt>
                <c:pt idx="5">
                  <c:v>890</c:v>
                </c:pt>
                <c:pt idx="6">
                  <c:v>740</c:v>
                </c:pt>
                <c:pt idx="7">
                  <c:v>720</c:v>
                </c:pt>
                <c:pt idx="8">
                  <c:v>430</c:v>
                </c:pt>
                <c:pt idx="9">
                  <c:v>1050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36568"/>
        <c:axId val="503633824"/>
      </c:scatterChart>
      <c:catAx>
        <c:axId val="50363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3633824"/>
        <c:crosses val="autoZero"/>
        <c:auto val="1"/>
        <c:lblAlgn val="ctr"/>
        <c:lblOffset val="100"/>
        <c:noMultiLvlLbl val="0"/>
      </c:catAx>
      <c:valAx>
        <c:axId val="50363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3636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ROC!$H$25:$H$35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ROC!$I$25:$I$35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635392"/>
        <c:axId val="503636176"/>
      </c:scatterChart>
      <c:valAx>
        <c:axId val="50363539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3636176"/>
        <c:crosses val="autoZero"/>
        <c:crossBetween val="midCat"/>
      </c:valAx>
      <c:valAx>
        <c:axId val="50363617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3635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ROC!$H$44:$H$54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ROC!$I$44:$I$54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42784"/>
        <c:axId val="601848272"/>
      </c:scatterChart>
      <c:valAx>
        <c:axId val="601842784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8272"/>
        <c:crosses val="autoZero"/>
        <c:crossBetween val="midCat"/>
      </c:valAx>
      <c:valAx>
        <c:axId val="60184827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ROC Curve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'ROC 1'!$H$4:$H$14</c:f>
              <c:numCache>
                <c:formatCode>General</c:formatCode>
                <c:ptCount val="11"/>
                <c:pt idx="0">
                  <c:v>1</c:v>
                </c:pt>
                <c:pt idx="1">
                  <c:v>0.93548387096774199</c:v>
                </c:pt>
                <c:pt idx="2">
                  <c:v>0.81593927893738138</c:v>
                </c:pt>
                <c:pt idx="3">
                  <c:v>0.64895635673624286</c:v>
                </c:pt>
                <c:pt idx="4">
                  <c:v>0.44971537001897532</c:v>
                </c:pt>
                <c:pt idx="5">
                  <c:v>0.21631878557874762</c:v>
                </c:pt>
                <c:pt idx="6">
                  <c:v>3.6053130929791233E-2</c:v>
                </c:pt>
                <c:pt idx="7">
                  <c:v>1.8975332068311146E-2</c:v>
                </c:pt>
                <c:pt idx="8">
                  <c:v>7.5901328273244584E-3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'ROC 1'!$I$4:$I$14</c:f>
              <c:numCache>
                <c:formatCode>General</c:formatCode>
                <c:ptCount val="11"/>
                <c:pt idx="0">
                  <c:v>1</c:v>
                </c:pt>
                <c:pt idx="1">
                  <c:v>0.989247311827957</c:v>
                </c:pt>
                <c:pt idx="2">
                  <c:v>0.96415770609318996</c:v>
                </c:pt>
                <c:pt idx="3">
                  <c:v>0.92473118279569888</c:v>
                </c:pt>
                <c:pt idx="4">
                  <c:v>0.87455197132616491</c:v>
                </c:pt>
                <c:pt idx="5">
                  <c:v>0.79211469534050183</c:v>
                </c:pt>
                <c:pt idx="6">
                  <c:v>0.57706093189964158</c:v>
                </c:pt>
                <c:pt idx="7">
                  <c:v>0.30824372759856633</c:v>
                </c:pt>
                <c:pt idx="8">
                  <c:v>0.16129032258064513</c:v>
                </c:pt>
                <c:pt idx="9">
                  <c:v>5.3763440860215006E-2</c:v>
                </c:pt>
                <c:pt idx="1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43176"/>
        <c:axId val="601845920"/>
      </c:scatterChart>
      <c:valAx>
        <c:axId val="601843176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False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5920"/>
        <c:crosses val="autoZero"/>
        <c:crossBetween val="midCat"/>
      </c:valAx>
      <c:valAx>
        <c:axId val="6018459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True Positive Rate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3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0" i="0">
                <a:effectLst/>
              </a:rPr>
              <a:t>𝒚 = 𝒇(𝒙)</a:t>
            </a:r>
            <a:endParaRPr lang="it-IT" b="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Graph!$A$4:$A$104</c:f>
              <c:numCache>
                <c:formatCode>General</c:formatCode>
                <c:ptCount val="101"/>
                <c:pt idx="0">
                  <c:v>-5</c:v>
                </c:pt>
                <c:pt idx="1">
                  <c:v>-4.9000000000000004</c:v>
                </c:pt>
                <c:pt idx="2">
                  <c:v>-4.8000000000000007</c:v>
                </c:pt>
                <c:pt idx="3">
                  <c:v>-4.7000000000000011</c:v>
                </c:pt>
                <c:pt idx="4">
                  <c:v>-4.6000000000000014</c:v>
                </c:pt>
                <c:pt idx="5">
                  <c:v>-4.5000000000000018</c:v>
                </c:pt>
                <c:pt idx="6">
                  <c:v>-4.4000000000000021</c:v>
                </c:pt>
                <c:pt idx="7">
                  <c:v>-4.3000000000000025</c:v>
                </c:pt>
                <c:pt idx="8">
                  <c:v>-4.2000000000000028</c:v>
                </c:pt>
                <c:pt idx="9">
                  <c:v>-4.1000000000000032</c:v>
                </c:pt>
                <c:pt idx="10">
                  <c:v>-4.0000000000000036</c:v>
                </c:pt>
                <c:pt idx="11">
                  <c:v>-3.9000000000000035</c:v>
                </c:pt>
                <c:pt idx="12">
                  <c:v>-3.8000000000000034</c:v>
                </c:pt>
                <c:pt idx="13">
                  <c:v>-3.7000000000000033</c:v>
                </c:pt>
                <c:pt idx="14">
                  <c:v>-3.6000000000000032</c:v>
                </c:pt>
                <c:pt idx="15">
                  <c:v>-3.5000000000000031</c:v>
                </c:pt>
                <c:pt idx="16">
                  <c:v>-3.400000000000003</c:v>
                </c:pt>
                <c:pt idx="17">
                  <c:v>-3.3000000000000029</c:v>
                </c:pt>
                <c:pt idx="18">
                  <c:v>-3.2000000000000028</c:v>
                </c:pt>
                <c:pt idx="19">
                  <c:v>-3.1000000000000028</c:v>
                </c:pt>
                <c:pt idx="20">
                  <c:v>-3.0000000000000027</c:v>
                </c:pt>
                <c:pt idx="21">
                  <c:v>-2.9000000000000026</c:v>
                </c:pt>
                <c:pt idx="22">
                  <c:v>-2.8000000000000025</c:v>
                </c:pt>
                <c:pt idx="23">
                  <c:v>-2.7000000000000024</c:v>
                </c:pt>
                <c:pt idx="24">
                  <c:v>-2.6000000000000023</c:v>
                </c:pt>
                <c:pt idx="25">
                  <c:v>-2.5000000000000022</c:v>
                </c:pt>
                <c:pt idx="26">
                  <c:v>-2.4000000000000021</c:v>
                </c:pt>
                <c:pt idx="27">
                  <c:v>-2.300000000000002</c:v>
                </c:pt>
                <c:pt idx="28">
                  <c:v>-2.200000000000002</c:v>
                </c:pt>
                <c:pt idx="29">
                  <c:v>-2.1000000000000019</c:v>
                </c:pt>
                <c:pt idx="30">
                  <c:v>-2.0000000000000018</c:v>
                </c:pt>
                <c:pt idx="31">
                  <c:v>-1.9000000000000017</c:v>
                </c:pt>
                <c:pt idx="32">
                  <c:v>-1.8000000000000016</c:v>
                </c:pt>
                <c:pt idx="33">
                  <c:v>-1.7000000000000015</c:v>
                </c:pt>
                <c:pt idx="34">
                  <c:v>-1.6000000000000014</c:v>
                </c:pt>
                <c:pt idx="35">
                  <c:v>-1.5000000000000013</c:v>
                </c:pt>
                <c:pt idx="36">
                  <c:v>-1.4000000000000012</c:v>
                </c:pt>
                <c:pt idx="37">
                  <c:v>-1.3000000000000012</c:v>
                </c:pt>
                <c:pt idx="38">
                  <c:v>-1.2000000000000011</c:v>
                </c:pt>
                <c:pt idx="39">
                  <c:v>-1.100000000000001</c:v>
                </c:pt>
                <c:pt idx="40">
                  <c:v>-1.0000000000000009</c:v>
                </c:pt>
                <c:pt idx="41">
                  <c:v>-0.90000000000000091</c:v>
                </c:pt>
                <c:pt idx="42">
                  <c:v>-0.80000000000000093</c:v>
                </c:pt>
                <c:pt idx="43">
                  <c:v>-0.70000000000000095</c:v>
                </c:pt>
                <c:pt idx="44">
                  <c:v>-0.60000000000000098</c:v>
                </c:pt>
                <c:pt idx="45">
                  <c:v>-0.500000000000001</c:v>
                </c:pt>
                <c:pt idx="46">
                  <c:v>-0.40000000000000102</c:v>
                </c:pt>
                <c:pt idx="47">
                  <c:v>-0.30000000000000104</c:v>
                </c:pt>
                <c:pt idx="48">
                  <c:v>-0.20000000000000104</c:v>
                </c:pt>
                <c:pt idx="49">
                  <c:v>-0.10000000000000103</c:v>
                </c:pt>
                <c:pt idx="50">
                  <c:v>0</c:v>
                </c:pt>
                <c:pt idx="51">
                  <c:v>0.1</c:v>
                </c:pt>
                <c:pt idx="52">
                  <c:v>0.2</c:v>
                </c:pt>
                <c:pt idx="53">
                  <c:v>0.30000000000000004</c:v>
                </c:pt>
                <c:pt idx="54">
                  <c:v>0.4</c:v>
                </c:pt>
                <c:pt idx="55">
                  <c:v>0.5</c:v>
                </c:pt>
                <c:pt idx="56">
                  <c:v>0.6</c:v>
                </c:pt>
                <c:pt idx="57">
                  <c:v>0.7</c:v>
                </c:pt>
                <c:pt idx="58">
                  <c:v>0.79999999999999993</c:v>
                </c:pt>
                <c:pt idx="59">
                  <c:v>0.89999999999999991</c:v>
                </c:pt>
                <c:pt idx="60">
                  <c:v>0.99999999999999989</c:v>
                </c:pt>
                <c:pt idx="61">
                  <c:v>1.0999999999999999</c:v>
                </c:pt>
                <c:pt idx="62">
                  <c:v>1.2</c:v>
                </c:pt>
                <c:pt idx="63">
                  <c:v>1.3</c:v>
                </c:pt>
                <c:pt idx="64">
                  <c:v>1.4000000000000001</c:v>
                </c:pt>
                <c:pt idx="65">
                  <c:v>1.5000000000000002</c:v>
                </c:pt>
                <c:pt idx="66">
                  <c:v>1.6000000000000003</c:v>
                </c:pt>
                <c:pt idx="67">
                  <c:v>1.7000000000000004</c:v>
                </c:pt>
                <c:pt idx="68">
                  <c:v>1.8000000000000005</c:v>
                </c:pt>
                <c:pt idx="69">
                  <c:v>1.9000000000000006</c:v>
                </c:pt>
                <c:pt idx="70">
                  <c:v>2.0000000000000004</c:v>
                </c:pt>
                <c:pt idx="71">
                  <c:v>2.1000000000000005</c:v>
                </c:pt>
                <c:pt idx="72">
                  <c:v>2.2000000000000006</c:v>
                </c:pt>
                <c:pt idx="73">
                  <c:v>2.3000000000000007</c:v>
                </c:pt>
                <c:pt idx="74">
                  <c:v>2.4000000000000008</c:v>
                </c:pt>
                <c:pt idx="75">
                  <c:v>2.5000000000000009</c:v>
                </c:pt>
                <c:pt idx="76">
                  <c:v>2.600000000000001</c:v>
                </c:pt>
                <c:pt idx="77">
                  <c:v>2.7000000000000011</c:v>
                </c:pt>
                <c:pt idx="78">
                  <c:v>2.8000000000000012</c:v>
                </c:pt>
                <c:pt idx="79">
                  <c:v>2.9000000000000012</c:v>
                </c:pt>
                <c:pt idx="80">
                  <c:v>3.0000000000000013</c:v>
                </c:pt>
                <c:pt idx="81">
                  <c:v>3.1000000000000014</c:v>
                </c:pt>
                <c:pt idx="82">
                  <c:v>3.2000000000000015</c:v>
                </c:pt>
                <c:pt idx="83">
                  <c:v>3.3000000000000016</c:v>
                </c:pt>
                <c:pt idx="84">
                  <c:v>3.4000000000000017</c:v>
                </c:pt>
                <c:pt idx="85">
                  <c:v>3.5000000000000018</c:v>
                </c:pt>
                <c:pt idx="86">
                  <c:v>3.6000000000000019</c:v>
                </c:pt>
                <c:pt idx="87">
                  <c:v>3.700000000000002</c:v>
                </c:pt>
                <c:pt idx="88">
                  <c:v>3.800000000000002</c:v>
                </c:pt>
                <c:pt idx="89">
                  <c:v>3.9000000000000021</c:v>
                </c:pt>
                <c:pt idx="90">
                  <c:v>4.0000000000000018</c:v>
                </c:pt>
                <c:pt idx="91">
                  <c:v>4.1000000000000014</c:v>
                </c:pt>
                <c:pt idx="92">
                  <c:v>4.2000000000000011</c:v>
                </c:pt>
                <c:pt idx="93">
                  <c:v>4.3000000000000007</c:v>
                </c:pt>
                <c:pt idx="94">
                  <c:v>4.4000000000000004</c:v>
                </c:pt>
                <c:pt idx="95">
                  <c:v>4.5</c:v>
                </c:pt>
                <c:pt idx="96">
                  <c:v>4.5999999999999996</c:v>
                </c:pt>
                <c:pt idx="97">
                  <c:v>4.6999999999999993</c:v>
                </c:pt>
                <c:pt idx="98">
                  <c:v>4.7999999999999989</c:v>
                </c:pt>
                <c:pt idx="99">
                  <c:v>4.8999999999999986</c:v>
                </c:pt>
                <c:pt idx="100">
                  <c:v>4.9999999999999982</c:v>
                </c:pt>
              </c:numCache>
            </c:numRef>
          </c:cat>
          <c:val>
            <c:numRef>
              <c:f>Graph!$B$4:$B$104</c:f>
              <c:numCache>
                <c:formatCode>General</c:formatCode>
                <c:ptCount val="101"/>
                <c:pt idx="0">
                  <c:v>25</c:v>
                </c:pt>
                <c:pt idx="1">
                  <c:v>24.010000000000005</c:v>
                </c:pt>
                <c:pt idx="2">
                  <c:v>23.040000000000006</c:v>
                </c:pt>
                <c:pt idx="3">
                  <c:v>22.090000000000011</c:v>
                </c:pt>
                <c:pt idx="4">
                  <c:v>21.160000000000014</c:v>
                </c:pt>
                <c:pt idx="5">
                  <c:v>20.250000000000014</c:v>
                </c:pt>
                <c:pt idx="6">
                  <c:v>19.360000000000017</c:v>
                </c:pt>
                <c:pt idx="7">
                  <c:v>18.49000000000002</c:v>
                </c:pt>
                <c:pt idx="8">
                  <c:v>17.640000000000025</c:v>
                </c:pt>
                <c:pt idx="9">
                  <c:v>16.810000000000027</c:v>
                </c:pt>
                <c:pt idx="10">
                  <c:v>16.000000000000028</c:v>
                </c:pt>
                <c:pt idx="11">
                  <c:v>15.210000000000027</c:v>
                </c:pt>
                <c:pt idx="12">
                  <c:v>14.440000000000026</c:v>
                </c:pt>
                <c:pt idx="13">
                  <c:v>13.690000000000024</c:v>
                </c:pt>
                <c:pt idx="14">
                  <c:v>12.960000000000022</c:v>
                </c:pt>
                <c:pt idx="15">
                  <c:v>12.250000000000021</c:v>
                </c:pt>
                <c:pt idx="16">
                  <c:v>11.56000000000002</c:v>
                </c:pt>
                <c:pt idx="17">
                  <c:v>10.89000000000002</c:v>
                </c:pt>
                <c:pt idx="18">
                  <c:v>10.240000000000018</c:v>
                </c:pt>
                <c:pt idx="19">
                  <c:v>9.6100000000000172</c:v>
                </c:pt>
                <c:pt idx="20">
                  <c:v>9.000000000000016</c:v>
                </c:pt>
                <c:pt idx="21">
                  <c:v>8.4100000000000144</c:v>
                </c:pt>
                <c:pt idx="22">
                  <c:v>7.8400000000000141</c:v>
                </c:pt>
                <c:pt idx="23">
                  <c:v>7.2900000000000134</c:v>
                </c:pt>
                <c:pt idx="24">
                  <c:v>6.7600000000000122</c:v>
                </c:pt>
                <c:pt idx="25">
                  <c:v>6.2500000000000107</c:v>
                </c:pt>
                <c:pt idx="26">
                  <c:v>5.7600000000000104</c:v>
                </c:pt>
                <c:pt idx="27">
                  <c:v>5.2900000000000098</c:v>
                </c:pt>
                <c:pt idx="28">
                  <c:v>4.8400000000000087</c:v>
                </c:pt>
                <c:pt idx="29">
                  <c:v>4.4100000000000081</c:v>
                </c:pt>
                <c:pt idx="30">
                  <c:v>4.0000000000000071</c:v>
                </c:pt>
                <c:pt idx="31">
                  <c:v>3.6100000000000065</c:v>
                </c:pt>
                <c:pt idx="32">
                  <c:v>3.2400000000000055</c:v>
                </c:pt>
                <c:pt idx="33">
                  <c:v>2.890000000000005</c:v>
                </c:pt>
                <c:pt idx="34">
                  <c:v>2.5600000000000045</c:v>
                </c:pt>
                <c:pt idx="35">
                  <c:v>2.250000000000004</c:v>
                </c:pt>
                <c:pt idx="36">
                  <c:v>1.9600000000000035</c:v>
                </c:pt>
                <c:pt idx="37">
                  <c:v>1.6900000000000031</c:v>
                </c:pt>
                <c:pt idx="38">
                  <c:v>1.4400000000000026</c:v>
                </c:pt>
                <c:pt idx="39">
                  <c:v>1.2100000000000022</c:v>
                </c:pt>
                <c:pt idx="40">
                  <c:v>1.0000000000000018</c:v>
                </c:pt>
                <c:pt idx="41">
                  <c:v>0.81000000000000161</c:v>
                </c:pt>
                <c:pt idx="42">
                  <c:v>0.64000000000000146</c:v>
                </c:pt>
                <c:pt idx="43">
                  <c:v>0.49000000000000132</c:v>
                </c:pt>
                <c:pt idx="44">
                  <c:v>0.36000000000000115</c:v>
                </c:pt>
                <c:pt idx="45">
                  <c:v>0.250000000000001</c:v>
                </c:pt>
                <c:pt idx="46">
                  <c:v>0.16000000000000081</c:v>
                </c:pt>
                <c:pt idx="47">
                  <c:v>9.0000000000000621E-2</c:v>
                </c:pt>
                <c:pt idx="48">
                  <c:v>4.0000000000000417E-2</c:v>
                </c:pt>
                <c:pt idx="49">
                  <c:v>1.0000000000000207E-2</c:v>
                </c:pt>
                <c:pt idx="50">
                  <c:v>0</c:v>
                </c:pt>
                <c:pt idx="51">
                  <c:v>1.0000000000000002E-2</c:v>
                </c:pt>
                <c:pt idx="52">
                  <c:v>4.0000000000000008E-2</c:v>
                </c:pt>
                <c:pt idx="53">
                  <c:v>9.0000000000000024E-2</c:v>
                </c:pt>
                <c:pt idx="54">
                  <c:v>0.16000000000000003</c:v>
                </c:pt>
                <c:pt idx="55">
                  <c:v>0.25</c:v>
                </c:pt>
                <c:pt idx="56">
                  <c:v>0.36</c:v>
                </c:pt>
                <c:pt idx="57">
                  <c:v>0.48999999999999994</c:v>
                </c:pt>
                <c:pt idx="58">
                  <c:v>0.6399999999999999</c:v>
                </c:pt>
                <c:pt idx="59">
                  <c:v>0.80999999999999983</c:v>
                </c:pt>
                <c:pt idx="60">
                  <c:v>0.99999999999999978</c:v>
                </c:pt>
                <c:pt idx="61">
                  <c:v>1.2099999999999997</c:v>
                </c:pt>
                <c:pt idx="62">
                  <c:v>1.44</c:v>
                </c:pt>
                <c:pt idx="63">
                  <c:v>1.6900000000000002</c:v>
                </c:pt>
                <c:pt idx="64">
                  <c:v>1.9600000000000004</c:v>
                </c:pt>
                <c:pt idx="65">
                  <c:v>2.2500000000000009</c:v>
                </c:pt>
                <c:pt idx="66">
                  <c:v>2.5600000000000009</c:v>
                </c:pt>
                <c:pt idx="67">
                  <c:v>2.8900000000000015</c:v>
                </c:pt>
                <c:pt idx="68">
                  <c:v>3.2400000000000015</c:v>
                </c:pt>
                <c:pt idx="69">
                  <c:v>3.6100000000000021</c:v>
                </c:pt>
                <c:pt idx="70">
                  <c:v>4.0000000000000018</c:v>
                </c:pt>
                <c:pt idx="71">
                  <c:v>4.4100000000000019</c:v>
                </c:pt>
                <c:pt idx="72">
                  <c:v>4.8400000000000025</c:v>
                </c:pt>
                <c:pt idx="73">
                  <c:v>5.2900000000000036</c:v>
                </c:pt>
                <c:pt idx="74">
                  <c:v>5.7600000000000042</c:v>
                </c:pt>
                <c:pt idx="75">
                  <c:v>6.2500000000000044</c:v>
                </c:pt>
                <c:pt idx="76">
                  <c:v>6.7600000000000051</c:v>
                </c:pt>
                <c:pt idx="77">
                  <c:v>7.2900000000000054</c:v>
                </c:pt>
                <c:pt idx="78">
                  <c:v>7.8400000000000061</c:v>
                </c:pt>
                <c:pt idx="79">
                  <c:v>8.4100000000000072</c:v>
                </c:pt>
                <c:pt idx="80">
                  <c:v>9.0000000000000071</c:v>
                </c:pt>
                <c:pt idx="81">
                  <c:v>9.6100000000000083</c:v>
                </c:pt>
                <c:pt idx="82">
                  <c:v>10.240000000000009</c:v>
                </c:pt>
                <c:pt idx="83">
                  <c:v>10.890000000000011</c:v>
                </c:pt>
                <c:pt idx="84">
                  <c:v>11.560000000000011</c:v>
                </c:pt>
                <c:pt idx="85">
                  <c:v>12.250000000000012</c:v>
                </c:pt>
                <c:pt idx="86">
                  <c:v>12.960000000000013</c:v>
                </c:pt>
                <c:pt idx="87">
                  <c:v>13.690000000000014</c:v>
                </c:pt>
                <c:pt idx="88">
                  <c:v>14.440000000000015</c:v>
                </c:pt>
                <c:pt idx="89">
                  <c:v>15.210000000000017</c:v>
                </c:pt>
                <c:pt idx="90">
                  <c:v>16.000000000000014</c:v>
                </c:pt>
                <c:pt idx="91">
                  <c:v>16.810000000000013</c:v>
                </c:pt>
                <c:pt idx="92">
                  <c:v>17.640000000000008</c:v>
                </c:pt>
                <c:pt idx="93">
                  <c:v>18.490000000000006</c:v>
                </c:pt>
                <c:pt idx="94">
                  <c:v>19.360000000000003</c:v>
                </c:pt>
                <c:pt idx="95">
                  <c:v>20.25</c:v>
                </c:pt>
                <c:pt idx="96">
                  <c:v>21.159999999999997</c:v>
                </c:pt>
                <c:pt idx="97">
                  <c:v>22.089999999999993</c:v>
                </c:pt>
                <c:pt idx="98">
                  <c:v>23.039999999999988</c:v>
                </c:pt>
                <c:pt idx="99">
                  <c:v>24.009999999999987</c:v>
                </c:pt>
                <c:pt idx="100">
                  <c:v>24.999999999999982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843568"/>
        <c:axId val="601841608"/>
      </c:lineChart>
      <c:catAx>
        <c:axId val="60184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x-axis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160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01841608"/>
        <c:scaling>
          <c:orientation val="minMax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y-axis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'Conversion 2'!$J$6:$J$12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'Conversion 2'!$K$6:$K$12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842000"/>
        <c:axId val="601843960"/>
      </c:barChart>
      <c:catAx>
        <c:axId val="60184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3960"/>
        <c:crosses val="autoZero"/>
        <c:auto val="1"/>
        <c:lblAlgn val="ctr"/>
        <c:lblOffset val="100"/>
        <c:noMultiLvlLbl val="0"/>
      </c:catAx>
      <c:valAx>
        <c:axId val="601843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'Conversion 2'!$J$45:$J$50</c:f>
              <c:numCache>
                <c:formatCode>General</c:formatCode>
                <c:ptCount val="6"/>
                <c:pt idx="0">
                  <c:v>4.9999999999999991</c:v>
                </c:pt>
                <c:pt idx="1">
                  <c:v>5.1599999999999993</c:v>
                </c:pt>
                <c:pt idx="2">
                  <c:v>5.3199999999999994</c:v>
                </c:pt>
                <c:pt idx="3">
                  <c:v>5.4799999999999995</c:v>
                </c:pt>
                <c:pt idx="4">
                  <c:v>5.64</c:v>
                </c:pt>
                <c:pt idx="5">
                  <c:v>5.8</c:v>
                </c:pt>
              </c:numCache>
            </c:numRef>
          </c:cat>
          <c:val>
            <c:numRef>
              <c:f>'Conversion 2'!$K$45:$K$50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842392"/>
        <c:axId val="601847096"/>
      </c:barChart>
      <c:catAx>
        <c:axId val="60184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7096"/>
        <c:crosses val="autoZero"/>
        <c:auto val="1"/>
        <c:lblAlgn val="ctr"/>
        <c:lblOffset val="100"/>
        <c:noMultiLvlLbl val="0"/>
      </c:catAx>
      <c:valAx>
        <c:axId val="601847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2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'Conversion 2'!$J$27:$J$32</c:f>
              <c:numCache>
                <c:formatCode>General</c:formatCode>
                <c:ptCount val="6"/>
                <c:pt idx="0">
                  <c:v>5.049999999999998</c:v>
                </c:pt>
                <c:pt idx="1">
                  <c:v>5.1999999999999984</c:v>
                </c:pt>
                <c:pt idx="2">
                  <c:v>5.3499999999999988</c:v>
                </c:pt>
                <c:pt idx="3">
                  <c:v>5.4999999999999991</c:v>
                </c:pt>
                <c:pt idx="4">
                  <c:v>5.6499999999999995</c:v>
                </c:pt>
                <c:pt idx="5">
                  <c:v>5.8</c:v>
                </c:pt>
              </c:numCache>
            </c:numRef>
          </c:cat>
          <c:val>
            <c:numRef>
              <c:f>'Conversion 2'!$K$27:$K$32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844744"/>
        <c:axId val="601847488"/>
      </c:barChart>
      <c:catAx>
        <c:axId val="60184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7488"/>
        <c:crosses val="autoZero"/>
        <c:auto val="1"/>
        <c:lblAlgn val="ctr"/>
        <c:lblOffset val="100"/>
        <c:noMultiLvlLbl val="0"/>
      </c:catAx>
      <c:valAx>
        <c:axId val="601847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4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Stress Levels by Week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errBars>
            <c:errDir val="y"/>
            <c:errBarType val="both"/>
            <c:errValType val="cust"/>
            <c:noEndCap val="0"/>
            <c:plus>
              <c:numRef>
                <c:f>'Chart s.e.'!$B$21:$E$21</c:f>
                <c:numCache>
                  <c:formatCode>General</c:formatCode>
                  <c:ptCount val="4"/>
                  <c:pt idx="0">
                    <c:v>4.1723199743372952</c:v>
                  </c:pt>
                  <c:pt idx="1">
                    <c:v>5.6111001100002165</c:v>
                  </c:pt>
                  <c:pt idx="2">
                    <c:v>3.1193202352690133</c:v>
                  </c:pt>
                  <c:pt idx="3">
                    <c:v>9.9582302246106558</c:v>
                  </c:pt>
                </c:numCache>
              </c:numRef>
            </c:plus>
            <c:minus>
              <c:numRef>
                <c:f>'Chart s.e.'!$B$21:$E$21</c:f>
                <c:numCache>
                  <c:formatCode>General</c:formatCode>
                  <c:ptCount val="4"/>
                  <c:pt idx="0">
                    <c:v>4.1723199743372952</c:v>
                  </c:pt>
                  <c:pt idx="1">
                    <c:v>5.6111001100002165</c:v>
                  </c:pt>
                  <c:pt idx="2">
                    <c:v>3.1193202352690133</c:v>
                  </c:pt>
                  <c:pt idx="3">
                    <c:v>9.9582302246106558</c:v>
                  </c:pt>
                </c:numCache>
              </c:numRef>
            </c:minus>
          </c:errBars>
          <c:cat>
            <c:strRef>
              <c:f>'Chart s.e.'!$B$3:$E$3</c:f>
              <c:strCache>
                <c:ptCount val="4"/>
                <c:pt idx="0">
                  <c:v>Before</c:v>
                </c:pt>
                <c:pt idx="1">
                  <c:v>1 week</c:v>
                </c:pt>
                <c:pt idx="2">
                  <c:v>2 weeks</c:v>
                </c:pt>
                <c:pt idx="3">
                  <c:v>3 weeks</c:v>
                </c:pt>
              </c:strCache>
            </c:strRef>
          </c:cat>
          <c:val>
            <c:numRef>
              <c:f>'Chart s.e.'!$B$19:$E$19</c:f>
              <c:numCache>
                <c:formatCode>General</c:formatCode>
                <c:ptCount val="4"/>
                <c:pt idx="0">
                  <c:v>18.133333333333333</c:v>
                </c:pt>
                <c:pt idx="1">
                  <c:v>27.133333333333333</c:v>
                </c:pt>
                <c:pt idx="2">
                  <c:v>23.666666666666668</c:v>
                </c:pt>
                <c:pt idx="3">
                  <c:v>40.733333333333334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847880"/>
        <c:axId val="601848664"/>
      </c:lineChart>
      <c:catAx>
        <c:axId val="601847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01848664"/>
        <c:crosses val="autoZero"/>
        <c:auto val="1"/>
        <c:lblAlgn val="ctr"/>
        <c:lblOffset val="100"/>
        <c:noMultiLvlLbl val="0"/>
      </c:catAx>
      <c:valAx>
        <c:axId val="601848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Stress Level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01847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</xdr:colOff>
      <xdr:row>1</xdr:row>
      <xdr:rowOff>104774</xdr:rowOff>
    </xdr:from>
    <xdr:to>
      <xdr:col>12</xdr:col>
      <xdr:colOff>19050</xdr:colOff>
      <xdr:row>14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19050</xdr:rowOff>
    </xdr:from>
    <xdr:to>
      <xdr:col>8</xdr:col>
      <xdr:colOff>495300</xdr:colOff>
      <xdr:row>13</xdr:row>
      <xdr:rowOff>43815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100012</xdr:rowOff>
    </xdr:from>
    <xdr:to>
      <xdr:col>10</xdr:col>
      <xdr:colOff>361950</xdr:colOff>
      <xdr:row>15</xdr:row>
      <xdr:rowOff>73342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1</xdr:row>
      <xdr:rowOff>176212</xdr:rowOff>
    </xdr:from>
    <xdr:to>
      <xdr:col>18</xdr:col>
      <xdr:colOff>306388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209550</xdr:colOff>
      <xdr:row>19</xdr:row>
      <xdr:rowOff>33337</xdr:rowOff>
    </xdr:from>
    <xdr:to>
      <xdr:col>10</xdr:col>
      <xdr:colOff>315913</xdr:colOff>
      <xdr:row>32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90487</xdr:rowOff>
    </xdr:from>
    <xdr:to>
      <xdr:col>10</xdr:col>
      <xdr:colOff>495300</xdr:colOff>
      <xdr:row>14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</xdr:row>
      <xdr:rowOff>14287</xdr:rowOff>
    </xdr:from>
    <xdr:to>
      <xdr:col>18</xdr:col>
      <xdr:colOff>476250</xdr:colOff>
      <xdr:row>16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14287</xdr:rowOff>
    </xdr:from>
    <xdr:to>
      <xdr:col>13</xdr:col>
      <xdr:colOff>381000</xdr:colOff>
      <xdr:row>15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19050</xdr:rowOff>
    </xdr:from>
    <xdr:to>
      <xdr:col>11</xdr:col>
      <xdr:colOff>438150</xdr:colOff>
      <xdr:row>12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1</xdr:row>
      <xdr:rowOff>19050</xdr:rowOff>
    </xdr:from>
    <xdr:to>
      <xdr:col>17</xdr:col>
      <xdr:colOff>571500</xdr:colOff>
      <xdr:row>12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1</xdr:row>
      <xdr:rowOff>61912</xdr:rowOff>
    </xdr:from>
    <xdr:to>
      <xdr:col>27</xdr:col>
      <xdr:colOff>428625</xdr:colOff>
      <xdr:row>15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17</xdr:row>
      <xdr:rowOff>9525</xdr:rowOff>
    </xdr:from>
    <xdr:to>
      <xdr:col>9</xdr:col>
      <xdr:colOff>38100</xdr:colOff>
      <xdr:row>27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200025</xdr:colOff>
      <xdr:row>2</xdr:row>
      <xdr:rowOff>128587</xdr:rowOff>
    </xdr:from>
    <xdr:to>
      <xdr:col>26</xdr:col>
      <xdr:colOff>504825</xdr:colOff>
      <xdr:row>17</xdr:row>
      <xdr:rowOff>4762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180975</xdr:colOff>
      <xdr:row>20</xdr:row>
      <xdr:rowOff>61912</xdr:rowOff>
    </xdr:from>
    <xdr:to>
      <xdr:col>26</xdr:col>
      <xdr:colOff>485775</xdr:colOff>
      <xdr:row>34</xdr:row>
      <xdr:rowOff>128587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4762</xdr:rowOff>
    </xdr:from>
    <xdr:to>
      <xdr:col>16</xdr:col>
      <xdr:colOff>295275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0</xdr:rowOff>
    </xdr:from>
    <xdr:to>
      <xdr:col>16</xdr:col>
      <xdr:colOff>266700</xdr:colOff>
      <xdr:row>34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4762</xdr:rowOff>
    </xdr:from>
    <xdr:to>
      <xdr:col>16</xdr:col>
      <xdr:colOff>276225</xdr:colOff>
      <xdr:row>16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21</xdr:row>
      <xdr:rowOff>4762</xdr:rowOff>
    </xdr:from>
    <xdr:to>
      <xdr:col>16</xdr:col>
      <xdr:colOff>276225</xdr:colOff>
      <xdr:row>35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71437</xdr:rowOff>
    </xdr:from>
    <xdr:to>
      <xdr:col>15</xdr:col>
      <xdr:colOff>466725</xdr:colOff>
      <xdr:row>15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18</xdr:row>
      <xdr:rowOff>33337</xdr:rowOff>
    </xdr:from>
    <xdr:to>
      <xdr:col>15</xdr:col>
      <xdr:colOff>476250</xdr:colOff>
      <xdr:row>32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14287</xdr:rowOff>
    </xdr:from>
    <xdr:to>
      <xdr:col>15</xdr:col>
      <xdr:colOff>466725</xdr:colOff>
      <xdr:row>16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</xdr:row>
      <xdr:rowOff>157162</xdr:rowOff>
    </xdr:from>
    <xdr:to>
      <xdr:col>15</xdr:col>
      <xdr:colOff>495300</xdr:colOff>
      <xdr:row>17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2</xdr:row>
      <xdr:rowOff>138112</xdr:rowOff>
    </xdr:from>
    <xdr:to>
      <xdr:col>15</xdr:col>
      <xdr:colOff>476250</xdr:colOff>
      <xdr:row>17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1</xdr:row>
      <xdr:rowOff>4762</xdr:rowOff>
    </xdr:from>
    <xdr:to>
      <xdr:col>18</xdr:col>
      <xdr:colOff>19050</xdr:colOff>
      <xdr:row>15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</xdr:row>
      <xdr:rowOff>185737</xdr:rowOff>
    </xdr:from>
    <xdr:to>
      <xdr:col>11</xdr:col>
      <xdr:colOff>247650</xdr:colOff>
      <xdr:row>16</xdr:row>
      <xdr:rowOff>71437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</xdr:row>
      <xdr:rowOff>71437</xdr:rowOff>
    </xdr:from>
    <xdr:to>
      <xdr:col>15</xdr:col>
      <xdr:colOff>504825</xdr:colOff>
      <xdr:row>17</xdr:row>
      <xdr:rowOff>147637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219075</xdr:colOff>
      <xdr:row>39</xdr:row>
      <xdr:rowOff>71437</xdr:rowOff>
    </xdr:from>
    <xdr:to>
      <xdr:col>22</xdr:col>
      <xdr:colOff>523875</xdr:colOff>
      <xdr:row>53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16</xdr:row>
      <xdr:rowOff>71437</xdr:rowOff>
    </xdr:from>
    <xdr:to>
      <xdr:col>11</xdr:col>
      <xdr:colOff>323850</xdr:colOff>
      <xdr:row>30</xdr:row>
      <xdr:rowOff>147637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23812</xdr:rowOff>
    </xdr:from>
    <xdr:to>
      <xdr:col>10</xdr:col>
      <xdr:colOff>314325</xdr:colOff>
      <xdr:row>17</xdr:row>
      <xdr:rowOff>100012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2</xdr:row>
      <xdr:rowOff>52387</xdr:rowOff>
    </xdr:from>
    <xdr:to>
      <xdr:col>19</xdr:col>
      <xdr:colOff>542925</xdr:colOff>
      <xdr:row>16</xdr:row>
      <xdr:rowOff>128587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209550</xdr:colOff>
      <xdr:row>36</xdr:row>
      <xdr:rowOff>42862</xdr:rowOff>
    </xdr:from>
    <xdr:to>
      <xdr:col>19</xdr:col>
      <xdr:colOff>514350</xdr:colOff>
      <xdr:row>50</xdr:row>
      <xdr:rowOff>119062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219075</xdr:colOff>
      <xdr:row>18</xdr:row>
      <xdr:rowOff>61912</xdr:rowOff>
    </xdr:from>
    <xdr:to>
      <xdr:col>19</xdr:col>
      <xdr:colOff>523875</xdr:colOff>
      <xdr:row>32</xdr:row>
      <xdr:rowOff>138112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42862</xdr:rowOff>
    </xdr:from>
    <xdr:to>
      <xdr:col>13</xdr:col>
      <xdr:colOff>390525</xdr:colOff>
      <xdr:row>17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/>
  <dimension ref="A1:B19"/>
  <sheetViews>
    <sheetView tabSelected="1" zoomScaleNormal="100" workbookViewId="0">
      <selection sqref="A1:P25"/>
    </sheetView>
  </sheetViews>
  <sheetFormatPr defaultRowHeight="15" x14ac:dyDescent="0.25"/>
  <cols>
    <col min="1" max="1" width="49.85546875" customWidth="1"/>
  </cols>
  <sheetData>
    <row r="1" spans="1:2" x14ac:dyDescent="0.25">
      <c r="A1" s="1" t="s">
        <v>796</v>
      </c>
      <c r="B1" s="1"/>
    </row>
    <row r="2" spans="1:2" x14ac:dyDescent="0.25">
      <c r="A2" s="1" t="s">
        <v>832</v>
      </c>
      <c r="B2" s="1"/>
    </row>
    <row r="3" spans="1:2" x14ac:dyDescent="0.25">
      <c r="A3" s="1"/>
      <c r="B3" s="1"/>
    </row>
    <row r="4" spans="1:2" x14ac:dyDescent="0.25">
      <c r="A4" s="123" t="s">
        <v>831</v>
      </c>
    </row>
    <row r="6" spans="1:2" x14ac:dyDescent="0.25">
      <c r="A6" s="1" t="s">
        <v>216</v>
      </c>
    </row>
    <row r="8" spans="1:2" x14ac:dyDescent="0.25">
      <c r="A8" s="2" t="s">
        <v>215</v>
      </c>
    </row>
    <row r="9" spans="1:2" x14ac:dyDescent="0.25">
      <c r="A9" s="2" t="s">
        <v>393</v>
      </c>
    </row>
    <row r="10" spans="1:2" x14ac:dyDescent="0.25">
      <c r="A10" s="2" t="s">
        <v>217</v>
      </c>
    </row>
    <row r="11" spans="1:2" x14ac:dyDescent="0.25">
      <c r="A11" s="2" t="s">
        <v>94</v>
      </c>
    </row>
    <row r="12" spans="1:2" x14ac:dyDescent="0.25">
      <c r="A12" s="2" t="s">
        <v>244</v>
      </c>
    </row>
    <row r="13" spans="1:2" x14ac:dyDescent="0.25">
      <c r="A13" s="2"/>
    </row>
    <row r="14" spans="1:2" x14ac:dyDescent="0.25">
      <c r="A14" s="2" t="s">
        <v>595</v>
      </c>
    </row>
    <row r="16" spans="1:2" x14ac:dyDescent="0.25">
      <c r="A16" s="2" t="s">
        <v>794</v>
      </c>
    </row>
    <row r="17" spans="1:1" x14ac:dyDescent="0.25">
      <c r="A17" s="2" t="s">
        <v>539</v>
      </c>
    </row>
    <row r="18" spans="1:1" x14ac:dyDescent="0.25">
      <c r="A18" s="2" t="s">
        <v>795</v>
      </c>
    </row>
    <row r="19" spans="1:1" x14ac:dyDescent="0.25">
      <c r="A19" s="2" t="s">
        <v>802</v>
      </c>
    </row>
  </sheetData>
  <hyperlinks>
    <hyperlink ref="A8" location="TOC!A8" display="Excel Environment"/>
    <hyperlink ref="A10" location="TOC!A54" display="Probability Functions"/>
    <hyperlink ref="A11" location="TOC!A68" display="Descriptive Statistics"/>
    <hyperlink ref="A12" location="TOC!A140" display="Hypothesis Testing"/>
    <hyperlink ref="A9" location="TOC!A32" display="Real Statistics Environment"/>
    <hyperlink ref="A14" location="TOC!A151" display="Appendix"/>
    <hyperlink ref="A16" location="TOC!A153" display="Mathematical Notation and Concepts"/>
    <hyperlink ref="A17" location="TOC!A161" display="Excel Capabilities"/>
    <hyperlink ref="A18" location="TOC!A193" display="Matrices and Iterative Processes"/>
    <hyperlink ref="A19" location="TOC!A223" display="Real Statistics Capabiliti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43"/>
  <sheetViews>
    <sheetView topLeftCell="A226" workbookViewId="0">
      <selection activeCell="B243" sqref="B243"/>
    </sheetView>
  </sheetViews>
  <sheetFormatPr defaultRowHeight="15" customHeight="1" x14ac:dyDescent="0.25"/>
  <cols>
    <col min="1" max="1" width="4" customWidth="1"/>
    <col min="2" max="2" width="85.5703125" customWidth="1"/>
  </cols>
  <sheetData>
    <row r="1" spans="1:2" x14ac:dyDescent="0.25">
      <c r="A1" s="1" t="s">
        <v>796</v>
      </c>
      <c r="B1" s="1"/>
    </row>
    <row r="2" spans="1:2" x14ac:dyDescent="0.25">
      <c r="A2" s="1" t="s">
        <v>832</v>
      </c>
      <c r="B2" s="1"/>
    </row>
    <row r="3" spans="1:2" x14ac:dyDescent="0.25">
      <c r="A3" s="1"/>
      <c r="B3" s="1"/>
    </row>
    <row r="4" spans="1:2" x14ac:dyDescent="0.25">
      <c r="A4" s="123" t="s">
        <v>831</v>
      </c>
    </row>
    <row r="6" spans="1:2" ht="15" customHeight="1" x14ac:dyDescent="0.25">
      <c r="A6" s="1" t="s">
        <v>0</v>
      </c>
    </row>
    <row r="7" spans="1:2" ht="15" customHeight="1" x14ac:dyDescent="0.25">
      <c r="A7" s="1"/>
    </row>
    <row r="8" spans="1:2" ht="15" customHeight="1" x14ac:dyDescent="0.25">
      <c r="A8" s="1" t="s">
        <v>215</v>
      </c>
    </row>
    <row r="10" spans="1:2" ht="15" customHeight="1" x14ac:dyDescent="0.25">
      <c r="A10" t="s">
        <v>213</v>
      </c>
    </row>
    <row r="11" spans="1:2" ht="15" customHeight="1" x14ac:dyDescent="0.25">
      <c r="B11" s="2" t="s">
        <v>223</v>
      </c>
    </row>
    <row r="13" spans="1:2" ht="15" customHeight="1" x14ac:dyDescent="0.25">
      <c r="A13" t="s">
        <v>214</v>
      </c>
    </row>
    <row r="14" spans="1:2" ht="15" customHeight="1" x14ac:dyDescent="0.25">
      <c r="B14" s="2" t="s">
        <v>224</v>
      </c>
    </row>
    <row r="15" spans="1:2" ht="15" customHeight="1" x14ac:dyDescent="0.25">
      <c r="B15" s="2" t="s">
        <v>225</v>
      </c>
    </row>
    <row r="16" spans="1:2" ht="15" customHeight="1" x14ac:dyDescent="0.25">
      <c r="B16" s="2" t="s">
        <v>307</v>
      </c>
    </row>
    <row r="17" spans="1:2" ht="15" customHeight="1" x14ac:dyDescent="0.25">
      <c r="B17" s="2" t="s">
        <v>451</v>
      </c>
    </row>
    <row r="18" spans="1:2" ht="15" customHeight="1" x14ac:dyDescent="0.25">
      <c r="B18" s="2" t="s">
        <v>452</v>
      </c>
    </row>
    <row r="20" spans="1:2" ht="15" customHeight="1" x14ac:dyDescent="0.25">
      <c r="A20" t="s">
        <v>218</v>
      </c>
    </row>
    <row r="21" spans="1:2" ht="15" customHeight="1" x14ac:dyDescent="0.25">
      <c r="B21" s="2" t="s">
        <v>226</v>
      </c>
    </row>
    <row r="22" spans="1:2" ht="15" customHeight="1" x14ac:dyDescent="0.25">
      <c r="B22" s="2" t="s">
        <v>227</v>
      </c>
    </row>
    <row r="23" spans="1:2" ht="15" customHeight="1" x14ac:dyDescent="0.25">
      <c r="B23" s="2"/>
    </row>
    <row r="24" spans="1:2" ht="15" customHeight="1" x14ac:dyDescent="0.25">
      <c r="A24" t="s">
        <v>347</v>
      </c>
      <c r="B24" s="2"/>
    </row>
    <row r="25" spans="1:2" ht="15" customHeight="1" x14ac:dyDescent="0.25">
      <c r="B25" s="2" t="s">
        <v>355</v>
      </c>
    </row>
    <row r="26" spans="1:2" ht="15" customHeight="1" x14ac:dyDescent="0.25">
      <c r="B26" s="2" t="s">
        <v>354</v>
      </c>
    </row>
    <row r="27" spans="1:2" ht="15" customHeight="1" x14ac:dyDescent="0.25">
      <c r="B27" s="2" t="s">
        <v>353</v>
      </c>
    </row>
    <row r="28" spans="1:2" ht="15" customHeight="1" x14ac:dyDescent="0.25">
      <c r="B28" s="2"/>
    </row>
    <row r="29" spans="1:2" s="1" customFormat="1" ht="15" customHeight="1" x14ac:dyDescent="0.25">
      <c r="A29" s="24" t="s">
        <v>400</v>
      </c>
      <c r="B29" s="126"/>
    </row>
    <row r="30" spans="1:2" s="1" customFormat="1" ht="15" customHeight="1" x14ac:dyDescent="0.25">
      <c r="B30" s="2" t="s">
        <v>401</v>
      </c>
    </row>
    <row r="31" spans="1:2" ht="15" customHeight="1" x14ac:dyDescent="0.25">
      <c r="B31" s="2"/>
    </row>
    <row r="32" spans="1:2" ht="15" customHeight="1" x14ac:dyDescent="0.25">
      <c r="A32" s="1" t="s">
        <v>393</v>
      </c>
      <c r="B32" s="2"/>
    </row>
    <row r="33" spans="1:2" ht="15" customHeight="1" x14ac:dyDescent="0.25">
      <c r="B33" s="2"/>
    </row>
    <row r="34" spans="1:2" ht="15" customHeight="1" x14ac:dyDescent="0.25">
      <c r="A34" t="s">
        <v>394</v>
      </c>
      <c r="B34" s="2"/>
    </row>
    <row r="35" spans="1:2" ht="15" customHeight="1" x14ac:dyDescent="0.25">
      <c r="B35" s="2" t="s">
        <v>395</v>
      </c>
    </row>
    <row r="36" spans="1:2" ht="15" customHeight="1" x14ac:dyDescent="0.25">
      <c r="B36" s="2" t="s">
        <v>399</v>
      </c>
    </row>
    <row r="37" spans="1:2" ht="15" customHeight="1" x14ac:dyDescent="0.25">
      <c r="B37" s="2" t="s">
        <v>431</v>
      </c>
    </row>
    <row r="38" spans="1:2" ht="15" customHeight="1" x14ac:dyDescent="0.25">
      <c r="B38" s="2" t="s">
        <v>830</v>
      </c>
    </row>
    <row r="39" spans="1:2" ht="15" customHeight="1" x14ac:dyDescent="0.25">
      <c r="B39" s="2"/>
    </row>
    <row r="40" spans="1:2" ht="15" customHeight="1" x14ac:dyDescent="0.25">
      <c r="A40" t="s">
        <v>295</v>
      </c>
      <c r="B40" s="2"/>
    </row>
    <row r="41" spans="1:2" ht="15" customHeight="1" x14ac:dyDescent="0.25">
      <c r="B41" s="2" t="s">
        <v>446</v>
      </c>
    </row>
    <row r="42" spans="1:2" ht="15" customHeight="1" x14ac:dyDescent="0.25">
      <c r="B42" s="2" t="s">
        <v>447</v>
      </c>
    </row>
    <row r="43" spans="1:2" ht="15" customHeight="1" x14ac:dyDescent="0.25">
      <c r="B43" s="2"/>
    </row>
    <row r="44" spans="1:2" ht="15" customHeight="1" x14ac:dyDescent="0.25">
      <c r="A44" t="s">
        <v>296</v>
      </c>
      <c r="B44" s="2"/>
    </row>
    <row r="45" spans="1:2" ht="15" customHeight="1" x14ac:dyDescent="0.25">
      <c r="B45" s="2" t="s">
        <v>448</v>
      </c>
    </row>
    <row r="46" spans="1:2" ht="15" customHeight="1" x14ac:dyDescent="0.25">
      <c r="B46" s="2" t="s">
        <v>449</v>
      </c>
    </row>
    <row r="47" spans="1:2" ht="15" customHeight="1" x14ac:dyDescent="0.25">
      <c r="B47" s="2"/>
    </row>
    <row r="48" spans="1:2" ht="15" customHeight="1" x14ac:dyDescent="0.25">
      <c r="A48" t="s">
        <v>433</v>
      </c>
      <c r="B48" s="2"/>
    </row>
    <row r="49" spans="1:2" ht="15" customHeight="1" x14ac:dyDescent="0.25">
      <c r="B49" s="2" t="s">
        <v>434</v>
      </c>
    </row>
    <row r="50" spans="1:2" ht="15" customHeight="1" x14ac:dyDescent="0.25">
      <c r="B50" s="2"/>
    </row>
    <row r="51" spans="1:2" ht="15" customHeight="1" x14ac:dyDescent="0.25">
      <c r="A51" t="s">
        <v>460</v>
      </c>
      <c r="B51" s="2"/>
    </row>
    <row r="52" spans="1:2" ht="15" customHeight="1" x14ac:dyDescent="0.25">
      <c r="B52" s="2" t="s">
        <v>258</v>
      </c>
    </row>
    <row r="53" spans="1:2" ht="15" customHeight="1" x14ac:dyDescent="0.25">
      <c r="B53" s="2"/>
    </row>
    <row r="54" spans="1:2" ht="15" customHeight="1" x14ac:dyDescent="0.25">
      <c r="A54" s="1" t="s">
        <v>217</v>
      </c>
      <c r="B54" s="2"/>
    </row>
    <row r="55" spans="1:2" ht="15" customHeight="1" x14ac:dyDescent="0.25">
      <c r="B55" s="2"/>
    </row>
    <row r="56" spans="1:2" ht="15" customHeight="1" x14ac:dyDescent="0.25">
      <c r="A56" t="s">
        <v>219</v>
      </c>
      <c r="B56" s="2"/>
    </row>
    <row r="57" spans="1:2" ht="15" customHeight="1" x14ac:dyDescent="0.25">
      <c r="B57" s="2" t="s">
        <v>228</v>
      </c>
    </row>
    <row r="59" spans="1:2" ht="15" customHeight="1" x14ac:dyDescent="0.25">
      <c r="A59" t="s">
        <v>220</v>
      </c>
    </row>
    <row r="60" spans="1:2" ht="15" customHeight="1" x14ac:dyDescent="0.25">
      <c r="B60" s="2" t="s">
        <v>229</v>
      </c>
    </row>
    <row r="61" spans="1:2" ht="15" customHeight="1" x14ac:dyDescent="0.25">
      <c r="B61" s="2" t="s">
        <v>230</v>
      </c>
    </row>
    <row r="62" spans="1:2" ht="15" customHeight="1" x14ac:dyDescent="0.25">
      <c r="B62" s="2" t="s">
        <v>423</v>
      </c>
    </row>
    <row r="63" spans="1:2" ht="15" customHeight="1" x14ac:dyDescent="0.25">
      <c r="B63" s="2" t="s">
        <v>303</v>
      </c>
    </row>
    <row r="64" spans="1:2" ht="15" customHeight="1" x14ac:dyDescent="0.25">
      <c r="B64" s="2"/>
    </row>
    <row r="65" spans="1:2" ht="15" customHeight="1" x14ac:dyDescent="0.25">
      <c r="A65" t="s">
        <v>516</v>
      </c>
      <c r="B65" s="2"/>
    </row>
    <row r="66" spans="1:2" ht="15" customHeight="1" x14ac:dyDescent="0.25">
      <c r="B66" s="2" t="s">
        <v>517</v>
      </c>
    </row>
    <row r="67" spans="1:2" ht="15" customHeight="1" x14ac:dyDescent="0.25">
      <c r="B67" s="2"/>
    </row>
    <row r="68" spans="1:2" ht="15" customHeight="1" x14ac:dyDescent="0.25">
      <c r="A68" s="1" t="s">
        <v>94</v>
      </c>
      <c r="B68" s="2"/>
    </row>
    <row r="69" spans="1:2" ht="15" customHeight="1" x14ac:dyDescent="0.25">
      <c r="B69" s="2"/>
    </row>
    <row r="70" spans="1:2" ht="15" customHeight="1" x14ac:dyDescent="0.25">
      <c r="A70" t="s">
        <v>221</v>
      </c>
      <c r="B70" s="2"/>
    </row>
    <row r="71" spans="1:2" ht="15" customHeight="1" x14ac:dyDescent="0.25">
      <c r="B71" s="2" t="s">
        <v>404</v>
      </c>
    </row>
    <row r="72" spans="1:2" ht="15" customHeight="1" x14ac:dyDescent="0.25">
      <c r="B72" s="2" t="s">
        <v>403</v>
      </c>
    </row>
    <row r="73" spans="1:2" ht="15" customHeight="1" x14ac:dyDescent="0.25">
      <c r="B73" s="2" t="s">
        <v>435</v>
      </c>
    </row>
    <row r="74" spans="1:2" ht="15" customHeight="1" x14ac:dyDescent="0.25">
      <c r="B74" s="2"/>
    </row>
    <row r="75" spans="1:2" ht="15" customHeight="1" x14ac:dyDescent="0.25">
      <c r="A75" t="s">
        <v>231</v>
      </c>
      <c r="B75" s="2"/>
    </row>
    <row r="76" spans="1:2" ht="15" customHeight="1" x14ac:dyDescent="0.25">
      <c r="B76" s="2" t="s">
        <v>505</v>
      </c>
    </row>
    <row r="77" spans="1:2" ht="15" customHeight="1" x14ac:dyDescent="0.25">
      <c r="B77" s="2" t="s">
        <v>405</v>
      </c>
    </row>
    <row r="78" spans="1:2" ht="15" customHeight="1" x14ac:dyDescent="0.25">
      <c r="B78" s="2" t="s">
        <v>503</v>
      </c>
    </row>
    <row r="79" spans="1:2" ht="15" customHeight="1" x14ac:dyDescent="0.25">
      <c r="B79" s="2" t="s">
        <v>504</v>
      </c>
    </row>
    <row r="80" spans="1:2" ht="15" customHeight="1" x14ac:dyDescent="0.25">
      <c r="B80" s="2"/>
    </row>
    <row r="81" spans="1:2" ht="15" customHeight="1" x14ac:dyDescent="0.25">
      <c r="A81" t="s">
        <v>436</v>
      </c>
      <c r="B81" s="2"/>
    </row>
    <row r="82" spans="1:2" ht="15" customHeight="1" x14ac:dyDescent="0.25">
      <c r="B82" s="2" t="s">
        <v>331</v>
      </c>
    </row>
    <row r="83" spans="1:2" ht="15" customHeight="1" x14ac:dyDescent="0.25">
      <c r="B83" s="2" t="s">
        <v>232</v>
      </c>
    </row>
    <row r="84" spans="1:2" ht="15" customHeight="1" x14ac:dyDescent="0.25">
      <c r="B84" s="2" t="s">
        <v>233</v>
      </c>
    </row>
    <row r="86" spans="1:2" ht="15" customHeight="1" x14ac:dyDescent="0.25">
      <c r="A86" t="s">
        <v>211</v>
      </c>
    </row>
    <row r="87" spans="1:2" ht="15" customHeight="1" x14ac:dyDescent="0.25">
      <c r="B87" s="2" t="s">
        <v>335</v>
      </c>
    </row>
    <row r="88" spans="1:2" ht="15" customHeight="1" x14ac:dyDescent="0.25">
      <c r="B88" s="2" t="s">
        <v>508</v>
      </c>
    </row>
    <row r="89" spans="1:2" ht="15" customHeight="1" x14ac:dyDescent="0.25">
      <c r="B89" s="2" t="s">
        <v>332</v>
      </c>
    </row>
    <row r="90" spans="1:2" ht="15" customHeight="1" x14ac:dyDescent="0.25">
      <c r="B90" s="2" t="s">
        <v>333</v>
      </c>
    </row>
    <row r="91" spans="1:2" ht="15" customHeight="1" x14ac:dyDescent="0.25">
      <c r="B91" s="2" t="s">
        <v>334</v>
      </c>
    </row>
    <row r="93" spans="1:2" ht="15" customHeight="1" x14ac:dyDescent="0.25">
      <c r="A93" t="s">
        <v>222</v>
      </c>
    </row>
    <row r="94" spans="1:2" ht="15" customHeight="1" x14ac:dyDescent="0.25">
      <c r="B94" s="2" t="s">
        <v>234</v>
      </c>
    </row>
    <row r="95" spans="1:2" ht="15" customHeight="1" x14ac:dyDescent="0.25">
      <c r="B95" s="2" t="s">
        <v>235</v>
      </c>
    </row>
    <row r="96" spans="1:2" ht="15" customHeight="1" x14ac:dyDescent="0.25">
      <c r="B96" s="2" t="s">
        <v>336</v>
      </c>
    </row>
    <row r="98" spans="1:2" ht="15" customHeight="1" x14ac:dyDescent="0.25">
      <c r="A98" t="s">
        <v>236</v>
      </c>
    </row>
    <row r="99" spans="1:2" ht="15" customHeight="1" x14ac:dyDescent="0.25">
      <c r="B99" s="2" t="s">
        <v>237</v>
      </c>
    </row>
    <row r="100" spans="1:2" ht="15" customHeight="1" x14ac:dyDescent="0.25">
      <c r="B100" s="2" t="s">
        <v>229</v>
      </c>
    </row>
    <row r="101" spans="1:2" ht="15" customHeight="1" x14ac:dyDescent="0.25">
      <c r="B101" s="2" t="s">
        <v>238</v>
      </c>
    </row>
    <row r="102" spans="1:2" ht="15" customHeight="1" x14ac:dyDescent="0.25">
      <c r="B102" s="2" t="s">
        <v>239</v>
      </c>
    </row>
    <row r="103" spans="1:2" ht="15" customHeight="1" x14ac:dyDescent="0.25">
      <c r="B103" s="2" t="s">
        <v>424</v>
      </c>
    </row>
    <row r="104" spans="1:2" ht="15" customHeight="1" x14ac:dyDescent="0.25">
      <c r="B104" s="2" t="s">
        <v>392</v>
      </c>
    </row>
    <row r="105" spans="1:2" ht="15" customHeight="1" x14ac:dyDescent="0.25">
      <c r="B105" s="2" t="s">
        <v>438</v>
      </c>
    </row>
    <row r="106" spans="1:2" ht="15" customHeight="1" x14ac:dyDescent="0.25">
      <c r="B106" s="2"/>
    </row>
    <row r="107" spans="1:2" ht="15" customHeight="1" x14ac:dyDescent="0.25">
      <c r="A107" t="s">
        <v>240</v>
      </c>
    </row>
    <row r="108" spans="1:2" ht="15" customHeight="1" x14ac:dyDescent="0.25">
      <c r="B108" s="2" t="s">
        <v>241</v>
      </c>
    </row>
    <row r="109" spans="1:2" ht="15" customHeight="1" x14ac:dyDescent="0.25">
      <c r="B109" s="2" t="s">
        <v>302</v>
      </c>
    </row>
    <row r="111" spans="1:2" ht="15" customHeight="1" x14ac:dyDescent="0.25">
      <c r="A111" t="s">
        <v>242</v>
      </c>
    </row>
    <row r="112" spans="1:2" ht="15" customHeight="1" x14ac:dyDescent="0.25">
      <c r="B112" s="2" t="s">
        <v>243</v>
      </c>
    </row>
    <row r="113" spans="1:2" ht="15" customHeight="1" x14ac:dyDescent="0.25">
      <c r="B113" s="2" t="s">
        <v>439</v>
      </c>
    </row>
    <row r="114" spans="1:2" ht="15" customHeight="1" x14ac:dyDescent="0.25">
      <c r="B114" s="2" t="s">
        <v>440</v>
      </c>
    </row>
    <row r="115" spans="1:2" ht="15" customHeight="1" x14ac:dyDescent="0.25">
      <c r="B115" s="2" t="s">
        <v>496</v>
      </c>
    </row>
    <row r="116" spans="1:2" ht="15" customHeight="1" x14ac:dyDescent="0.25">
      <c r="B116" s="2"/>
    </row>
    <row r="117" spans="1:2" ht="15" customHeight="1" x14ac:dyDescent="0.25">
      <c r="A117" t="s">
        <v>533</v>
      </c>
      <c r="B117" s="2"/>
    </row>
    <row r="118" spans="1:2" ht="15" customHeight="1" x14ac:dyDescent="0.25">
      <c r="B118" s="2" t="s">
        <v>535</v>
      </c>
    </row>
    <row r="119" spans="1:2" ht="15" customHeight="1" x14ac:dyDescent="0.25">
      <c r="B119" s="2" t="s">
        <v>536</v>
      </c>
    </row>
    <row r="120" spans="1:2" ht="15" customHeight="1" x14ac:dyDescent="0.25">
      <c r="B120" s="2"/>
    </row>
    <row r="121" spans="1:2" ht="15" customHeight="1" x14ac:dyDescent="0.25">
      <c r="A121" t="s">
        <v>406</v>
      </c>
      <c r="B121" s="2"/>
    </row>
    <row r="122" spans="1:2" ht="15" customHeight="1" x14ac:dyDescent="0.25">
      <c r="B122" s="2" t="s">
        <v>277</v>
      </c>
    </row>
    <row r="123" spans="1:2" ht="15" customHeight="1" x14ac:dyDescent="0.25">
      <c r="B123" s="2" t="s">
        <v>443</v>
      </c>
    </row>
    <row r="124" spans="1:2" ht="15" customHeight="1" x14ac:dyDescent="0.25">
      <c r="B124" s="2" t="s">
        <v>444</v>
      </c>
    </row>
    <row r="125" spans="1:2" ht="15" customHeight="1" x14ac:dyDescent="0.25">
      <c r="B125" s="2" t="s">
        <v>531</v>
      </c>
    </row>
    <row r="126" spans="1:2" ht="15" customHeight="1" x14ac:dyDescent="0.25">
      <c r="B126" s="2"/>
    </row>
    <row r="127" spans="1:2" ht="15" customHeight="1" x14ac:dyDescent="0.25">
      <c r="A127" t="s">
        <v>363</v>
      </c>
      <c r="B127" s="2"/>
    </row>
    <row r="128" spans="1:2" ht="15" customHeight="1" x14ac:dyDescent="0.25">
      <c r="B128" s="2" t="s">
        <v>364</v>
      </c>
    </row>
    <row r="129" spans="1:2" ht="15" customHeight="1" x14ac:dyDescent="0.25">
      <c r="B129" s="2"/>
    </row>
    <row r="130" spans="1:2" ht="15" customHeight="1" x14ac:dyDescent="0.25">
      <c r="A130" t="s">
        <v>348</v>
      </c>
      <c r="B130" s="2"/>
    </row>
    <row r="131" spans="1:2" ht="15" customHeight="1" x14ac:dyDescent="0.25">
      <c r="B131" s="2" t="s">
        <v>349</v>
      </c>
    </row>
    <row r="132" spans="1:2" ht="15" customHeight="1" x14ac:dyDescent="0.25">
      <c r="B132" s="2" t="s">
        <v>445</v>
      </c>
    </row>
    <row r="133" spans="1:2" ht="15" customHeight="1" x14ac:dyDescent="0.25">
      <c r="B133" s="2"/>
    </row>
    <row r="134" spans="1:2" ht="15" customHeight="1" x14ac:dyDescent="0.25">
      <c r="A134" t="s">
        <v>463</v>
      </c>
      <c r="B134" s="2"/>
    </row>
    <row r="135" spans="1:2" ht="15" customHeight="1" x14ac:dyDescent="0.25">
      <c r="B135" s="2" t="s">
        <v>492</v>
      </c>
    </row>
    <row r="136" spans="1:2" ht="15" customHeight="1" x14ac:dyDescent="0.25">
      <c r="B136" s="2" t="s">
        <v>494</v>
      </c>
    </row>
    <row r="137" spans="1:2" ht="15" customHeight="1" x14ac:dyDescent="0.25">
      <c r="B137" s="2" t="s">
        <v>493</v>
      </c>
    </row>
    <row r="138" spans="1:2" ht="15" customHeight="1" x14ac:dyDescent="0.25">
      <c r="B138" s="2" t="s">
        <v>258</v>
      </c>
    </row>
    <row r="139" spans="1:2" ht="15" customHeight="1" x14ac:dyDescent="0.25">
      <c r="B139" s="2"/>
    </row>
    <row r="140" spans="1:2" ht="15" customHeight="1" x14ac:dyDescent="0.25">
      <c r="A140" s="1" t="s">
        <v>244</v>
      </c>
      <c r="B140" s="2"/>
    </row>
    <row r="142" spans="1:2" ht="15" customHeight="1" x14ac:dyDescent="0.25">
      <c r="A142" t="s">
        <v>245</v>
      </c>
    </row>
    <row r="143" spans="1:2" ht="15" customHeight="1" x14ac:dyDescent="0.25">
      <c r="B143" s="2" t="s">
        <v>246</v>
      </c>
    </row>
    <row r="144" spans="1:2" ht="15" customHeight="1" x14ac:dyDescent="0.25">
      <c r="B144" s="2"/>
    </row>
    <row r="145" spans="1:2" ht="15" customHeight="1" x14ac:dyDescent="0.25">
      <c r="A145" t="s">
        <v>824</v>
      </c>
      <c r="B145" s="2"/>
    </row>
    <row r="146" spans="1:2" ht="15" customHeight="1" x14ac:dyDescent="0.25">
      <c r="B146" s="2" t="s">
        <v>825</v>
      </c>
    </row>
    <row r="147" spans="1:2" ht="15" customHeight="1" x14ac:dyDescent="0.25">
      <c r="B147" s="2" t="s">
        <v>826</v>
      </c>
    </row>
    <row r="148" spans="1:2" ht="15" customHeight="1" x14ac:dyDescent="0.25">
      <c r="B148" s="2" t="s">
        <v>827</v>
      </c>
    </row>
    <row r="149" spans="1:2" ht="15" customHeight="1" x14ac:dyDescent="0.25">
      <c r="B149" s="2" t="s">
        <v>828</v>
      </c>
    </row>
    <row r="150" spans="1:2" ht="15" customHeight="1" x14ac:dyDescent="0.25">
      <c r="B150" s="2"/>
    </row>
    <row r="151" spans="1:2" ht="15" customHeight="1" x14ac:dyDescent="0.25">
      <c r="A151" s="1" t="s">
        <v>595</v>
      </c>
    </row>
    <row r="153" spans="1:2" s="1" customFormat="1" ht="15" customHeight="1" x14ac:dyDescent="0.25">
      <c r="A153" s="1" t="s">
        <v>794</v>
      </c>
      <c r="B153" s="126"/>
    </row>
    <row r="154" spans="1:2" ht="15" customHeight="1" x14ac:dyDescent="0.25">
      <c r="B154" s="2"/>
    </row>
    <row r="155" spans="1:2" ht="15" customHeight="1" x14ac:dyDescent="0.25">
      <c r="A155" t="s">
        <v>537</v>
      </c>
      <c r="B155" s="2"/>
    </row>
    <row r="156" spans="1:2" ht="15" customHeight="1" x14ac:dyDescent="0.25">
      <c r="B156" s="2" t="s">
        <v>538</v>
      </c>
    </row>
    <row r="157" spans="1:2" ht="15" customHeight="1" x14ac:dyDescent="0.25">
      <c r="B157" s="2"/>
    </row>
    <row r="158" spans="1:2" ht="15" customHeight="1" x14ac:dyDescent="0.25">
      <c r="A158" t="s">
        <v>590</v>
      </c>
      <c r="B158" s="2"/>
    </row>
    <row r="159" spans="1:2" ht="15" customHeight="1" x14ac:dyDescent="0.25">
      <c r="B159" s="2" t="s">
        <v>591</v>
      </c>
    </row>
    <row r="160" spans="1:2" ht="15" customHeight="1" x14ac:dyDescent="0.25">
      <c r="B160" s="2"/>
    </row>
    <row r="161" spans="1:2" s="1" customFormat="1" ht="15" customHeight="1" x14ac:dyDescent="0.25">
      <c r="A161" s="1" t="s">
        <v>539</v>
      </c>
      <c r="B161" s="126"/>
    </row>
    <row r="162" spans="1:2" s="1" customFormat="1" ht="15" customHeight="1" x14ac:dyDescent="0.25">
      <c r="B162" s="126"/>
    </row>
    <row r="163" spans="1:2" s="1" customFormat="1" ht="15" customHeight="1" x14ac:dyDescent="0.25">
      <c r="A163" s="24" t="s">
        <v>540</v>
      </c>
      <c r="B163" s="126"/>
    </row>
    <row r="164" spans="1:2" s="1" customFormat="1" ht="15" customHeight="1" x14ac:dyDescent="0.25">
      <c r="B164" s="2" t="s">
        <v>541</v>
      </c>
    </row>
    <row r="165" spans="1:2" s="1" customFormat="1" ht="15" customHeight="1" x14ac:dyDescent="0.25">
      <c r="B165" s="2" t="s">
        <v>542</v>
      </c>
    </row>
    <row r="166" spans="1:2" s="1" customFormat="1" ht="15" customHeight="1" x14ac:dyDescent="0.25">
      <c r="A166" s="24"/>
      <c r="B166" s="2" t="s">
        <v>543</v>
      </c>
    </row>
    <row r="167" spans="1:2" ht="15" customHeight="1" x14ac:dyDescent="0.25">
      <c r="B167" s="2" t="s">
        <v>544</v>
      </c>
    </row>
    <row r="168" spans="1:2" ht="15" customHeight="1" x14ac:dyDescent="0.25">
      <c r="B168" s="2"/>
    </row>
    <row r="169" spans="1:2" ht="15" customHeight="1" x14ac:dyDescent="0.25">
      <c r="A169" t="s">
        <v>545</v>
      </c>
    </row>
    <row r="170" spans="1:2" ht="15" customHeight="1" x14ac:dyDescent="0.25">
      <c r="B170" s="2" t="s">
        <v>546</v>
      </c>
    </row>
    <row r="172" spans="1:2" ht="15" customHeight="1" x14ac:dyDescent="0.25">
      <c r="A172" t="s">
        <v>547</v>
      </c>
    </row>
    <row r="173" spans="1:2" ht="15" customHeight="1" x14ac:dyDescent="0.25">
      <c r="B173" s="2" t="s">
        <v>548</v>
      </c>
    </row>
    <row r="174" spans="1:2" ht="15" customHeight="1" x14ac:dyDescent="0.25">
      <c r="B174" s="2" t="s">
        <v>549</v>
      </c>
    </row>
    <row r="175" spans="1:2" ht="15" customHeight="1" x14ac:dyDescent="0.25">
      <c r="B175" s="2"/>
    </row>
    <row r="176" spans="1:2" ht="15" customHeight="1" x14ac:dyDescent="0.25">
      <c r="A176" t="s">
        <v>550</v>
      </c>
      <c r="B176" s="2"/>
    </row>
    <row r="177" spans="1:2" ht="15" customHeight="1" x14ac:dyDescent="0.25">
      <c r="B177" s="2" t="s">
        <v>116</v>
      </c>
    </row>
    <row r="178" spans="1:2" ht="15" customHeight="1" x14ac:dyDescent="0.25">
      <c r="B178" s="2" t="s">
        <v>551</v>
      </c>
    </row>
    <row r="180" spans="1:2" ht="15" customHeight="1" x14ac:dyDescent="0.25">
      <c r="A180" t="s">
        <v>556</v>
      </c>
      <c r="B180" s="2"/>
    </row>
    <row r="181" spans="1:2" ht="15" customHeight="1" x14ac:dyDescent="0.25">
      <c r="B181" s="2" t="s">
        <v>557</v>
      </c>
    </row>
    <row r="182" spans="1:2" ht="15" customHeight="1" x14ac:dyDescent="0.25">
      <c r="B182" s="2" t="s">
        <v>558</v>
      </c>
    </row>
    <row r="183" spans="1:2" ht="15" customHeight="1" x14ac:dyDescent="0.25">
      <c r="B183" s="2" t="s">
        <v>559</v>
      </c>
    </row>
    <row r="184" spans="1:2" ht="15" customHeight="1" x14ac:dyDescent="0.25">
      <c r="B184" s="2" t="s">
        <v>560</v>
      </c>
    </row>
    <row r="185" spans="1:2" ht="15" customHeight="1" x14ac:dyDescent="0.25">
      <c r="B185" s="2"/>
    </row>
    <row r="186" spans="1:2" ht="15" customHeight="1" x14ac:dyDescent="0.25">
      <c r="A186" t="s">
        <v>561</v>
      </c>
      <c r="B186" s="2"/>
    </row>
    <row r="187" spans="1:2" ht="15" customHeight="1" x14ac:dyDescent="0.25">
      <c r="B187" s="2" t="s">
        <v>562</v>
      </c>
    </row>
    <row r="188" spans="1:2" ht="15" customHeight="1" x14ac:dyDescent="0.25">
      <c r="B188" s="2" t="s">
        <v>563</v>
      </c>
    </row>
    <row r="189" spans="1:2" ht="15" customHeight="1" x14ac:dyDescent="0.25">
      <c r="B189" s="2"/>
    </row>
    <row r="190" spans="1:2" ht="15" customHeight="1" x14ac:dyDescent="0.25">
      <c r="A190" t="s">
        <v>564</v>
      </c>
    </row>
    <row r="191" spans="1:2" ht="15" customHeight="1" x14ac:dyDescent="0.25">
      <c r="B191" s="2" t="s">
        <v>565</v>
      </c>
    </row>
    <row r="192" spans="1:2" ht="15" customHeight="1" x14ac:dyDescent="0.25">
      <c r="B192" s="2"/>
    </row>
    <row r="193" spans="1:2" ht="15" customHeight="1" x14ac:dyDescent="0.25">
      <c r="A193" s="1" t="s">
        <v>566</v>
      </c>
      <c r="B193" s="2"/>
    </row>
    <row r="194" spans="1:2" ht="15" customHeight="1" x14ac:dyDescent="0.25">
      <c r="B194" s="2"/>
    </row>
    <row r="195" spans="1:2" ht="15" customHeight="1" x14ac:dyDescent="0.25">
      <c r="A195" t="s">
        <v>567</v>
      </c>
      <c r="B195" s="2"/>
    </row>
    <row r="196" spans="1:2" ht="15" customHeight="1" x14ac:dyDescent="0.25">
      <c r="B196" s="2" t="s">
        <v>568</v>
      </c>
    </row>
    <row r="197" spans="1:2" ht="15" customHeight="1" x14ac:dyDescent="0.25">
      <c r="B197" s="2" t="s">
        <v>569</v>
      </c>
    </row>
    <row r="198" spans="1:2" ht="15" customHeight="1" x14ac:dyDescent="0.25">
      <c r="B198" s="2"/>
    </row>
    <row r="199" spans="1:2" ht="15" customHeight="1" x14ac:dyDescent="0.25">
      <c r="A199" t="s">
        <v>570</v>
      </c>
      <c r="B199" s="2"/>
    </row>
    <row r="200" spans="1:2" ht="15" customHeight="1" x14ac:dyDescent="0.25">
      <c r="B200" s="2" t="s">
        <v>571</v>
      </c>
    </row>
    <row r="201" spans="1:2" ht="15" customHeight="1" x14ac:dyDescent="0.25">
      <c r="B201" s="2" t="s">
        <v>572</v>
      </c>
    </row>
    <row r="202" spans="1:2" ht="15" customHeight="1" x14ac:dyDescent="0.25">
      <c r="B202" s="2" t="s">
        <v>573</v>
      </c>
    </row>
    <row r="203" spans="1:2" ht="15" customHeight="1" x14ac:dyDescent="0.25">
      <c r="B203" s="2"/>
    </row>
    <row r="204" spans="1:2" ht="15" customHeight="1" x14ac:dyDescent="0.25">
      <c r="A204" t="s">
        <v>574</v>
      </c>
      <c r="B204" s="2"/>
    </row>
    <row r="205" spans="1:2" ht="15" customHeight="1" x14ac:dyDescent="0.25">
      <c r="B205" s="2" t="s">
        <v>575</v>
      </c>
    </row>
    <row r="206" spans="1:2" ht="15" customHeight="1" x14ac:dyDescent="0.25">
      <c r="B206" s="2" t="s">
        <v>576</v>
      </c>
    </row>
    <row r="207" spans="1:2" ht="15" customHeight="1" x14ac:dyDescent="0.25">
      <c r="B207" s="2" t="s">
        <v>577</v>
      </c>
    </row>
    <row r="208" spans="1:2" ht="15" customHeight="1" x14ac:dyDescent="0.25">
      <c r="B208" s="2" t="s">
        <v>578</v>
      </c>
    </row>
    <row r="209" spans="1:2" ht="15" customHeight="1" x14ac:dyDescent="0.25">
      <c r="B209" s="2" t="s">
        <v>579</v>
      </c>
    </row>
    <row r="210" spans="1:2" ht="15" customHeight="1" x14ac:dyDescent="0.25">
      <c r="B210" s="2" t="s">
        <v>580</v>
      </c>
    </row>
    <row r="211" spans="1:2" ht="15" customHeight="1" x14ac:dyDescent="0.25">
      <c r="B211" s="2" t="s">
        <v>581</v>
      </c>
    </row>
    <row r="212" spans="1:2" ht="15" customHeight="1" x14ac:dyDescent="0.25">
      <c r="B212" s="2" t="s">
        <v>582</v>
      </c>
    </row>
    <row r="213" spans="1:2" ht="15" customHeight="1" x14ac:dyDescent="0.25">
      <c r="B213" s="2"/>
    </row>
    <row r="214" spans="1:2" ht="15" customHeight="1" x14ac:dyDescent="0.25">
      <c r="A214" t="s">
        <v>583</v>
      </c>
      <c r="B214" s="2"/>
    </row>
    <row r="215" spans="1:2" ht="15" customHeight="1" x14ac:dyDescent="0.25">
      <c r="B215" s="2" t="s">
        <v>584</v>
      </c>
    </row>
    <row r="216" spans="1:2" ht="15" customHeight="1" x14ac:dyDescent="0.25">
      <c r="B216" s="2" t="s">
        <v>585</v>
      </c>
    </row>
    <row r="217" spans="1:2" ht="15" customHeight="1" x14ac:dyDescent="0.25">
      <c r="B217" s="2" t="s">
        <v>586</v>
      </c>
    </row>
    <row r="218" spans="1:2" ht="15" customHeight="1" x14ac:dyDescent="0.25">
      <c r="B218" s="2"/>
    </row>
    <row r="219" spans="1:2" ht="15" customHeight="1" x14ac:dyDescent="0.25">
      <c r="A219" t="s">
        <v>587</v>
      </c>
      <c r="B219" s="2"/>
    </row>
    <row r="220" spans="1:2" ht="15" customHeight="1" x14ac:dyDescent="0.25">
      <c r="B220" s="2" t="s">
        <v>588</v>
      </c>
    </row>
    <row r="221" spans="1:2" ht="15" customHeight="1" x14ac:dyDescent="0.25">
      <c r="B221" s="2" t="s">
        <v>589</v>
      </c>
    </row>
    <row r="222" spans="1:2" ht="15" customHeight="1" x14ac:dyDescent="0.25">
      <c r="B222" s="2"/>
    </row>
    <row r="223" spans="1:2" ht="15" customHeight="1" x14ac:dyDescent="0.25">
      <c r="A223" s="1" t="s">
        <v>802</v>
      </c>
    </row>
    <row r="224" spans="1:2" ht="15" customHeight="1" x14ac:dyDescent="0.25">
      <c r="B224" s="2"/>
    </row>
    <row r="225" spans="1:2" ht="15" customHeight="1" x14ac:dyDescent="0.25">
      <c r="A225" t="s">
        <v>592</v>
      </c>
      <c r="B225" s="2"/>
    </row>
    <row r="226" spans="1:2" ht="15" customHeight="1" x14ac:dyDescent="0.25">
      <c r="B226" s="2" t="s">
        <v>593</v>
      </c>
    </row>
    <row r="227" spans="1:2" ht="15" customHeight="1" x14ac:dyDescent="0.25">
      <c r="B227" s="2" t="s">
        <v>594</v>
      </c>
    </row>
    <row r="229" spans="1:2" ht="15" customHeight="1" x14ac:dyDescent="0.25">
      <c r="A229" t="s">
        <v>797</v>
      </c>
    </row>
    <row r="230" spans="1:2" ht="15" customHeight="1" x14ac:dyDescent="0.25">
      <c r="B230" s="2" t="s">
        <v>803</v>
      </c>
    </row>
    <row r="232" spans="1:2" ht="15" customHeight="1" x14ac:dyDescent="0.25">
      <c r="A232" t="s">
        <v>554</v>
      </c>
      <c r="B232" s="2"/>
    </row>
    <row r="233" spans="1:2" ht="15" customHeight="1" x14ac:dyDescent="0.25">
      <c r="B233" s="2" t="s">
        <v>555</v>
      </c>
    </row>
    <row r="234" spans="1:2" ht="15" customHeight="1" x14ac:dyDescent="0.25">
      <c r="B234" s="2"/>
    </row>
    <row r="235" spans="1:2" ht="15" customHeight="1" x14ac:dyDescent="0.25">
      <c r="A235" t="s">
        <v>550</v>
      </c>
      <c r="B235" s="2"/>
    </row>
    <row r="236" spans="1:2" ht="15" customHeight="1" x14ac:dyDescent="0.25">
      <c r="B236" s="2" t="s">
        <v>552</v>
      </c>
    </row>
    <row r="237" spans="1:2" ht="15" customHeight="1" x14ac:dyDescent="0.25">
      <c r="B237" s="2" t="s">
        <v>553</v>
      </c>
    </row>
    <row r="239" spans="1:2" ht="15" customHeight="1" x14ac:dyDescent="0.25">
      <c r="A239" t="s">
        <v>833</v>
      </c>
    </row>
    <row r="240" spans="1:2" ht="15" customHeight="1" x14ac:dyDescent="0.25">
      <c r="B240" s="2" t="s">
        <v>833</v>
      </c>
    </row>
    <row r="242" spans="1:2" ht="15" customHeight="1" x14ac:dyDescent="0.25">
      <c r="A242" t="s">
        <v>834</v>
      </c>
    </row>
    <row r="243" spans="1:2" ht="15" customHeight="1" x14ac:dyDescent="0.25">
      <c r="B243" s="2" t="s">
        <v>834</v>
      </c>
    </row>
  </sheetData>
  <hyperlinks>
    <hyperlink ref="B11" location="'Bar Chart'!A1" display="Sample Excel worksheet (Figure 2.1)"/>
    <hyperlink ref="B14" location="'Bar Chart'!A1" display="Bar Chart (Example 2.1)"/>
    <hyperlink ref="B15" location="'Line Chart'!A1" display="Line Chart (Example 2.2)"/>
    <hyperlink ref="B21" location="'Array Formula'!A1" display="Array formula (Example 2.3)"/>
    <hyperlink ref="B22" location="'Array Function'!A1" display="Array function (Example 2.4)"/>
    <hyperlink ref="B60" location="'Prob 1'!A1" display="Frequency function (Example 3.6)"/>
    <hyperlink ref="B61" location="'Prob 2'!A1" display="Frequency function (Example 3.7)"/>
    <hyperlink ref="B78" location="Combined!A1" display="Combined sample (Example 4.2)"/>
    <hyperlink ref="B83" location="'Chi-Sq'!A1" display="Chi-square distribution (Figure 4.5)"/>
    <hyperlink ref="B84" location="'Chi-Sq'!H33" display="Kurtosis and skewness (Figure 4.6)"/>
    <hyperlink ref="B89" location="'Rank 1'!A1" display="Rank and Percentile data analysis tool (Example 5)"/>
    <hyperlink ref="B94" location="'Desc 1'!A1" display="Descriptive Statistics data analysis tool (Example 4.2)"/>
    <hyperlink ref="B95" location="'Desc 2'!A1" display="Descriptive Statistics data analysis tool (Example 4.3)"/>
    <hyperlink ref="B96" location="'Desc 2'!I3" display="Real Statistics Descriptive Statistics data analysis tool (Example 3)"/>
    <hyperlink ref="B99" location="Freq!A1" display="Mean and variance based on frequency tables (Example 1)"/>
    <hyperlink ref="B100" location="Freq!C17" display="Frequency function (Example 1)"/>
    <hyperlink ref="B101" location="Freq!N3" display="Calculations from a frequency table with intervals (Example 4.5)"/>
    <hyperlink ref="B102" location="Histogram!A1" display="Excel FREQUENCY function (Example 4.6)"/>
    <hyperlink ref="B108" location="Histogram!A16" display="Histogram data analysis tool (Figure 4.18)"/>
    <hyperlink ref="B73" location="'Geo Mean'!A1" display="Geometric Mean (Figure 4.1)"/>
    <hyperlink ref="B112" location="'Box Plot 1'!A1" display="Box Plot (Example 4.7)"/>
    <hyperlink ref="B143" location="Power!A1" display="Power table (Figure 5.4)"/>
    <hyperlink ref="B57" location="'Prob 0'!A1" display="Probability calculation (Example 3.6)"/>
    <hyperlink ref="B42" location="'Sort Rows'!A1" display="Sort rows removing duplicates (Example 5)"/>
    <hyperlink ref="B41" location="'Sort Rows'!T1" display="Sort by rows (Example 4)"/>
    <hyperlink ref="B46" location="'Select Col'!A1" display="Select columns from data range (Example 6)"/>
    <hyperlink ref="B45" location="Extract!A1" display="Extract columns from data range (Example 3)"/>
    <hyperlink ref="B103" location="Histogram!M1" display="Real Statistics FREQTABLE supplemental function (Example 4)"/>
    <hyperlink ref="B109" location="Histogram!Q1" display="Real Statistics Frequency Table data analysis tool (Example 2)"/>
    <hyperlink ref="B62" location="'Prob 2'!M1" display="Frequency function using Real Statistics supplemental function (Example 3)"/>
    <hyperlink ref="B63" location="'Prob 2'!Q1" display="Frequency function using Real Statistics data analysis tool"/>
    <hyperlink ref="B16" location="'Line Chart 2'!A1" display="Line Chart (Example 3)"/>
    <hyperlink ref="B71" location="Central!A1" display="Mean, median, etc. (Examples 1-5"/>
    <hyperlink ref="B76" location="Var!A1" display="Variance, standard deviation, etc. (Examples 1,2, 4-8)"/>
    <hyperlink ref="B82" location="SKEW!A1" display="Skewness and kurtosis (Examples 1, 2)"/>
    <hyperlink ref="B87" location="'Rank 0'!A1" display="Various ranking and percentile functions (Examples 1-4)"/>
    <hyperlink ref="B90" location="'Rank 1'!T1" display="PERCENTILE vs. PERCENTILE.EXC (Example)"/>
    <hyperlink ref="B91" location="'Rank 1'!Y1" display="PERCENTILE vs. PERCENTILE.EXC (Example 9)"/>
    <hyperlink ref="B25" location="'Sort Filter'!A1" display="Sorting, Filtering, Removing Duplicates (Example 1)"/>
    <hyperlink ref="B131" location="Missing!A1" display="Remove missing data (Example 1)"/>
    <hyperlink ref="B132" location="Missing!Q1" display="Remove missing data (Example 2)"/>
    <hyperlink ref="B26" location="'Sort Filter'!P1" display="Remove Duplicates (Example 2)"/>
    <hyperlink ref="B27" location="'Sort Filter'!A14" display="Filter (Example 3)"/>
    <hyperlink ref="B128" location="Winsor!A1" display="Trimmed and Winsorized data (Example 1)"/>
    <hyperlink ref="B104" location="'Freq 2'!I1" display="Descriptive statistics for data in a frequency table (Example 5)"/>
    <hyperlink ref="B105" location="'Freq 2'!Q1" display="Real Statistics data analysis tool for obatining desc stats for frequency table (Example 8)"/>
    <hyperlink ref="B35" location="'Reformat 1'!A1" display="Sorting, removing duplicates, etc. (Example 1)"/>
    <hyperlink ref="B36" location="'Reformat 1'!P1" display="Sort and extract unique (Example 2)"/>
    <hyperlink ref="B72" location="Central!L1" display="Column means (Example 2)"/>
    <hyperlink ref="B77" location="Var!J1" display="Column variance and standard deviation (Examples 3)"/>
    <hyperlink ref="B123" location="ROC!A1" display="ROC Plot (Example 1)"/>
    <hyperlink ref="B124" location="'ROC 1'!A1" display="ROC Plot, alternative format (Example 1)"/>
    <hyperlink ref="B37" location="'Reformat 2'!A1" display="Sort using data analysis tool (Example 3)"/>
    <hyperlink ref="B49" location="Misc!A1" display="Examples"/>
    <hyperlink ref="B113" location="'Box Plot 1'!E19" display="Box Plot (Example 1 using .EXC)"/>
    <hyperlink ref="B114" location="'Box Plot 3'!A1" display="Box Plot with negative data"/>
    <hyperlink ref="B122" location="ROC!L23" display="Classification Table (Example 1)"/>
    <hyperlink ref="B52" location="'Step Chart 1'!A1" display="Real Statistics data analysis tool"/>
    <hyperlink ref="B17" location="'Scatter Chart'!A1" display="Scatter Chart (Example 4)"/>
    <hyperlink ref="B18" location="'Step Chart'!A1" display="Step Chart (Example 5)"/>
    <hyperlink ref="B30" location="Seek!A1" display="Square root example (Example 1)"/>
    <hyperlink ref="B135" location="'Diversity 1'!A1" display="Shannon's Index (Example 1)"/>
    <hyperlink ref="B136" location="'Diversity 2'!A1" display="Brillouin's Index (Example 2)"/>
    <hyperlink ref="B137" location="'Diversity 3'!A1" display="Simpson's Index (Example 3)"/>
    <hyperlink ref="B138" location="'Diversity 3'!I1" display="Real Statistics data analysis tool"/>
    <hyperlink ref="B115" location="'Box Plot 4'!A1" display="Real Statistics data analysis tool"/>
    <hyperlink ref="B79" location="'Combined 2'!A1" display="Combining two or more samples (Example 5)"/>
    <hyperlink ref="B88" location="'Rank 2'!A1" display="Real Statistics RANK_AVG vs. Excel RANK.AVG function"/>
    <hyperlink ref="B66" location="'Chi-Sq 0'!A1" display="Chi-square cumulative distribution"/>
    <hyperlink ref="B125" location="AUC!A1" display="Confidence interval for AUC"/>
    <hyperlink ref="B118" location="'Dot 1'!A1" display="Dot Plot (manual)"/>
    <hyperlink ref="B119" location="'Dot 2'!A1" display="Dot Plot (Real Statistics)"/>
    <hyperlink ref="B177" location="'Conversion 1'!A1" display="Conversion from frequency table (Figure B3.1)"/>
    <hyperlink ref="B181" location="'Table Lookup'!A1" display="Table Lookup (Example B4.1)"/>
    <hyperlink ref="B182" location="'Table Lookup'!H3" display="Table Lookup (Example B4.2)"/>
    <hyperlink ref="B183" location="'Table Lookup'!A18" display="Table Lookup (Example B4.3)"/>
    <hyperlink ref="B197" location="Diag!A1" display="Diagonal of a square mtrix (Example C2.1)"/>
    <hyperlink ref="B196" location="Length!A1" display="Length of a vector (Example C3.2)"/>
    <hyperlink ref="B200" location="Inverse!A1" display="Inverse of a matrix (Example C2.1)"/>
    <hyperlink ref="B205" location="'Det 1'!A1" display="Determinant (Example C3.1)"/>
    <hyperlink ref="B206" location="'Det 2'!A1" display="Determinant using Gaussian elimination (Example C3.2)"/>
    <hyperlink ref="B207" location="'Cramer Rule'!A1" display="Solution to linear equations via Cramer's rule (Example C3.3)"/>
    <hyperlink ref="B208" location="'Gauss Elim 1'!A1" display="Solution to linear equations via Gaussian elimination (Example C3.4)"/>
    <hyperlink ref="B209" location="'Gauss Elim 1'!A14" display="Solution to homogeneous linear equations (Example C3.5)"/>
    <hyperlink ref="B210" location="'Gauss Elim 1'!A25" display="Solution to homogeneous linear equations (Example C3.6)"/>
    <hyperlink ref="B211" location="'Gauss Elim 1'!A36" display="Inverting a matrix via Gaussian elimination (Example C3.7)"/>
    <hyperlink ref="B156" location="Graph!A1" display="Graph of a function (Example A4.1)"/>
    <hyperlink ref="B191" location="'Chart s.e.'!A1" display="Plot of sample means with std error intervals (Example B5.3)"/>
    <hyperlink ref="B212" location="'Gauss Elim 2'!A1" display="Gaussian elimination via supplementary functions (Examples C3.4 - C3.7)"/>
    <hyperlink ref="B215" location="Newton!A18" display="Newton's Method for one equation (Example C4.1)"/>
    <hyperlink ref="B216" location="Newton!E3" display="Newton's Method for multiple equations (Example C4.2)"/>
    <hyperlink ref="B217" location="Newton!A1" display="Newton's Method for one equation (Example C4.2)"/>
    <hyperlink ref="B220" location="'Goal Seek'!A1" display="Goal Seek to find eigenvalues (Example C5.1)"/>
    <hyperlink ref="B221" location="'Mult Reg 2B'!A1" display="Solver to find regression coefficients (Example C5.2)"/>
    <hyperlink ref="B173" location="Reformat!A1" display="Reformatting (Example 1)"/>
    <hyperlink ref="B164" location="Count!A1" display="Unique Counting"/>
    <hyperlink ref="B202" location="Matrix!A1" display="Matrix supplemental data analysis tool (Example 3)"/>
    <hyperlink ref="B178" location="'Conversion 1'!J1" display="Descriptive statistics for frequency table (Example 1)"/>
    <hyperlink ref="B170" location="Sort!A1" display="Sort and remove duplicates in standard Excel (Examples 1, 2, 3, 4)"/>
    <hyperlink ref="B174" location="Missing!A1" display="Remove missing data (Example 2)"/>
    <hyperlink ref="B233" location="'Cat Code'!A1" display="Coding of categorical variables (Example 1)"/>
    <hyperlink ref="B184" location="'Table Lookup'!H18" display="Table Lookup (Example B4.4)"/>
    <hyperlink ref="B166" location="Match!A1" display="MATCH function"/>
    <hyperlink ref="B165" location="SUMIF!A1" display="SUMIF and COUNTIF (Figure 8)"/>
    <hyperlink ref="B167" location="Match!K1" display="Two-dimensional table lookup"/>
    <hyperlink ref="B201" location="'Mat Power'!A1" display="Matrix Power"/>
    <hyperlink ref="B159" location="Gamma!A1" display="Gamma function with negative values and incomplete gamma function"/>
    <hyperlink ref="B187" location="Sampling!A1" display="Sampling without replacement"/>
    <hyperlink ref="B188" location="Sampling!E1" display="Sampling with replacement"/>
    <hyperlink ref="B227" location="'Color 2'!A1" display="Color functions"/>
    <hyperlink ref="B226" location="'Color 1'!A1" display="Color list"/>
    <hyperlink ref="B230" location="Interp!A1" display="Interpolation examples"/>
    <hyperlink ref="B237" location="'Conversion 2'!A1" display="Conversion to frequency table (Figure B3.3)"/>
    <hyperlink ref="B236" location="'Conversion 1'!R1" display="Conversion to raw data using Real Statistics data analysis tool (Example 2)"/>
    <hyperlink ref="B146" location="'Multiple tests'!A1" display="Bonferroni and Dunn/Sidàk tests"/>
    <hyperlink ref="B147" location="'Multiple tests'!H1" display="Holm and Hochberg tests"/>
    <hyperlink ref="B148" location="'Multiple tests'!O1" display="Benjamini-Hochberg test"/>
    <hyperlink ref="B149" location="'Multiple tests'!U1" display="Benjamini-Yekutieli test"/>
    <hyperlink ref="B38" location="'Reformat 2'!H1" display="Sequence (SEQ)"/>
    <hyperlink ref="B240" location="Prime!A1" display="Prime numbers"/>
    <hyperlink ref="B243" location="Bitwise!A1" display="Bitwise calculations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1"/>
  <sheetViews>
    <sheetView workbookViewId="0"/>
  </sheetViews>
  <sheetFormatPr defaultRowHeight="15" x14ac:dyDescent="0.25"/>
  <sheetData>
    <row r="1" spans="1:4" x14ac:dyDescent="0.25">
      <c r="A1" s="1" t="s">
        <v>1</v>
      </c>
    </row>
    <row r="2" spans="1:4" x14ac:dyDescent="0.25">
      <c r="A2" t="s">
        <v>2</v>
      </c>
    </row>
    <row r="4" spans="1:4" x14ac:dyDescent="0.25">
      <c r="B4" s="3" t="s">
        <v>3</v>
      </c>
      <c r="C4" s="3" t="s">
        <v>4</v>
      </c>
      <c r="D4" s="3" t="s">
        <v>5</v>
      </c>
    </row>
    <row r="5" spans="1:4" x14ac:dyDescent="0.25">
      <c r="A5" s="1" t="s">
        <v>6</v>
      </c>
      <c r="B5" s="4">
        <v>23.5</v>
      </c>
      <c r="C5" s="5">
        <v>12.3</v>
      </c>
      <c r="D5" s="6">
        <v>15</v>
      </c>
    </row>
    <row r="6" spans="1:4" x14ac:dyDescent="0.25">
      <c r="A6" s="1" t="s">
        <v>7</v>
      </c>
      <c r="B6" s="7">
        <v>13.8</v>
      </c>
      <c r="C6" s="8">
        <v>8.1</v>
      </c>
      <c r="D6" s="9">
        <v>5.5</v>
      </c>
    </row>
    <row r="7" spans="1:4" x14ac:dyDescent="0.25">
      <c r="A7" s="1" t="s">
        <v>8</v>
      </c>
      <c r="B7" s="7">
        <v>17.3</v>
      </c>
      <c r="C7" s="8">
        <v>4.5</v>
      </c>
      <c r="D7" s="9">
        <v>6.9</v>
      </c>
    </row>
    <row r="8" spans="1:4" x14ac:dyDescent="0.25">
      <c r="A8" s="1" t="s">
        <v>9</v>
      </c>
      <c r="B8" s="7">
        <v>14.8</v>
      </c>
      <c r="C8" s="8">
        <v>6.8</v>
      </c>
      <c r="D8" s="9">
        <v>2.7</v>
      </c>
    </row>
    <row r="9" spans="1:4" x14ac:dyDescent="0.25">
      <c r="A9" s="1" t="s">
        <v>10</v>
      </c>
      <c r="B9" s="7">
        <v>7.2</v>
      </c>
      <c r="C9" s="8">
        <v>4.2</v>
      </c>
      <c r="D9" s="9">
        <v>1.6</v>
      </c>
    </row>
    <row r="10" spans="1:4" x14ac:dyDescent="0.25">
      <c r="A10" s="1" t="s">
        <v>11</v>
      </c>
      <c r="B10" s="10">
        <v>29.5</v>
      </c>
      <c r="C10" s="11">
        <v>21.4</v>
      </c>
      <c r="D10" s="12">
        <v>11.6</v>
      </c>
    </row>
    <row r="11" spans="1:4" x14ac:dyDescent="0.25">
      <c r="A11" t="s">
        <v>12</v>
      </c>
      <c r="B11">
        <f>SUM(B5:B10)</f>
        <v>106.1</v>
      </c>
      <c r="C11">
        <f>SUM(C5:C10)</f>
        <v>57.3</v>
      </c>
      <c r="D11">
        <f>SUM(D5:D10)</f>
        <v>43.3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/>
  </sheetViews>
  <sheetFormatPr defaultRowHeight="15" x14ac:dyDescent="0.25"/>
  <sheetData>
    <row r="1" spans="1:2" x14ac:dyDescent="0.25">
      <c r="A1" s="1" t="s">
        <v>13</v>
      </c>
    </row>
    <row r="3" spans="1:2" x14ac:dyDescent="0.25">
      <c r="A3" s="19" t="s">
        <v>22</v>
      </c>
      <c r="B3" s="19" t="s">
        <v>23</v>
      </c>
    </row>
    <row r="4" spans="1:2" x14ac:dyDescent="0.25">
      <c r="A4">
        <v>31</v>
      </c>
      <c r="B4">
        <v>23500</v>
      </c>
    </row>
    <row r="5" spans="1:2" x14ac:dyDescent="0.25">
      <c r="A5">
        <f t="shared" ref="A5:A13" si="0">A4+1</f>
        <v>32</v>
      </c>
      <c r="B5">
        <v>24000</v>
      </c>
    </row>
    <row r="6" spans="1:2" x14ac:dyDescent="0.25">
      <c r="A6">
        <f t="shared" si="0"/>
        <v>33</v>
      </c>
      <c r="B6">
        <v>25000</v>
      </c>
    </row>
    <row r="7" spans="1:2" x14ac:dyDescent="0.25">
      <c r="A7">
        <f t="shared" si="0"/>
        <v>34</v>
      </c>
      <c r="B7">
        <v>26700</v>
      </c>
    </row>
    <row r="8" spans="1:2" x14ac:dyDescent="0.25">
      <c r="A8">
        <f t="shared" si="0"/>
        <v>35</v>
      </c>
      <c r="B8">
        <v>27500</v>
      </c>
    </row>
    <row r="9" spans="1:2" x14ac:dyDescent="0.25">
      <c r="A9">
        <f t="shared" si="0"/>
        <v>36</v>
      </c>
      <c r="B9">
        <v>29200</v>
      </c>
    </row>
    <row r="10" spans="1:2" x14ac:dyDescent="0.25">
      <c r="A10">
        <f t="shared" si="0"/>
        <v>37</v>
      </c>
      <c r="B10">
        <v>33000</v>
      </c>
    </row>
    <row r="11" spans="1:2" x14ac:dyDescent="0.25">
      <c r="A11">
        <f t="shared" si="0"/>
        <v>38</v>
      </c>
      <c r="B11">
        <v>35100</v>
      </c>
    </row>
    <row r="12" spans="1:2" x14ac:dyDescent="0.25">
      <c r="A12">
        <f t="shared" si="0"/>
        <v>39</v>
      </c>
      <c r="B12">
        <v>37400</v>
      </c>
    </row>
    <row r="13" spans="1:2" x14ac:dyDescent="0.25">
      <c r="A13">
        <f t="shared" si="0"/>
        <v>40</v>
      </c>
      <c r="B13">
        <v>39500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5"/>
  <dimension ref="A1:C31"/>
  <sheetViews>
    <sheetView workbookViewId="0"/>
  </sheetViews>
  <sheetFormatPr defaultRowHeight="15" x14ac:dyDescent="0.25"/>
  <sheetData>
    <row r="1" spans="1:3" x14ac:dyDescent="0.25">
      <c r="A1" s="1" t="s">
        <v>306</v>
      </c>
    </row>
    <row r="3" spans="1:3" x14ac:dyDescent="0.25">
      <c r="A3" s="19" t="s">
        <v>22</v>
      </c>
      <c r="B3" s="19" t="s">
        <v>23</v>
      </c>
      <c r="C3" s="19" t="s">
        <v>305</v>
      </c>
    </row>
    <row r="4" spans="1:3" x14ac:dyDescent="0.25">
      <c r="A4">
        <v>31</v>
      </c>
      <c r="B4">
        <v>23500</v>
      </c>
      <c r="C4">
        <v>6000</v>
      </c>
    </row>
    <row r="5" spans="1:3" x14ac:dyDescent="0.25">
      <c r="A5">
        <f t="shared" ref="A5:A13" si="0">A4+1</f>
        <v>32</v>
      </c>
      <c r="B5">
        <v>24000</v>
      </c>
      <c r="C5">
        <v>6500</v>
      </c>
    </row>
    <row r="6" spans="1:3" x14ac:dyDescent="0.25">
      <c r="A6">
        <f t="shared" si="0"/>
        <v>33</v>
      </c>
      <c r="B6">
        <v>25000</v>
      </c>
      <c r="C6">
        <v>7000</v>
      </c>
    </row>
    <row r="7" spans="1:3" x14ac:dyDescent="0.25">
      <c r="A7">
        <f t="shared" si="0"/>
        <v>34</v>
      </c>
      <c r="B7">
        <v>26700</v>
      </c>
      <c r="C7">
        <v>4500</v>
      </c>
    </row>
    <row r="8" spans="1:3" x14ac:dyDescent="0.25">
      <c r="A8">
        <f t="shared" si="0"/>
        <v>35</v>
      </c>
      <c r="B8">
        <v>27500</v>
      </c>
      <c r="C8">
        <v>6000</v>
      </c>
    </row>
    <row r="9" spans="1:3" x14ac:dyDescent="0.25">
      <c r="A9">
        <f t="shared" si="0"/>
        <v>36</v>
      </c>
      <c r="B9">
        <v>29200</v>
      </c>
      <c r="C9">
        <v>7500</v>
      </c>
    </row>
    <row r="10" spans="1:3" x14ac:dyDescent="0.25">
      <c r="A10">
        <f t="shared" si="0"/>
        <v>37</v>
      </c>
      <c r="B10">
        <v>33000</v>
      </c>
      <c r="C10">
        <v>8000</v>
      </c>
    </row>
    <row r="11" spans="1:3" x14ac:dyDescent="0.25">
      <c r="A11">
        <f t="shared" si="0"/>
        <v>38</v>
      </c>
      <c r="B11">
        <v>35100</v>
      </c>
      <c r="C11">
        <v>9000</v>
      </c>
    </row>
    <row r="12" spans="1:3" x14ac:dyDescent="0.25">
      <c r="A12">
        <f t="shared" si="0"/>
        <v>39</v>
      </c>
      <c r="B12">
        <v>37400</v>
      </c>
      <c r="C12">
        <v>7000</v>
      </c>
    </row>
    <row r="13" spans="1:3" x14ac:dyDescent="0.25">
      <c r="A13">
        <f t="shared" si="0"/>
        <v>40</v>
      </c>
      <c r="B13">
        <v>39500</v>
      </c>
      <c r="C13">
        <v>12000</v>
      </c>
    </row>
    <row r="21" spans="1:3" x14ac:dyDescent="0.25">
      <c r="A21" s="19" t="s">
        <v>22</v>
      </c>
      <c r="B21" s="19" t="s">
        <v>23</v>
      </c>
      <c r="C21" s="19" t="s">
        <v>305</v>
      </c>
    </row>
    <row r="22" spans="1:3" x14ac:dyDescent="0.25">
      <c r="A22">
        <v>31</v>
      </c>
      <c r="B22">
        <v>23500</v>
      </c>
      <c r="C22">
        <v>6000</v>
      </c>
    </row>
    <row r="23" spans="1:3" x14ac:dyDescent="0.25">
      <c r="A23">
        <f t="shared" ref="A23:A31" si="1">A22+1</f>
        <v>32</v>
      </c>
      <c r="B23">
        <v>24000</v>
      </c>
      <c r="C23">
        <v>6500</v>
      </c>
    </row>
    <row r="24" spans="1:3" x14ac:dyDescent="0.25">
      <c r="A24">
        <f t="shared" si="1"/>
        <v>33</v>
      </c>
      <c r="B24">
        <v>25000</v>
      </c>
      <c r="C24">
        <v>7000</v>
      </c>
    </row>
    <row r="25" spans="1:3" x14ac:dyDescent="0.25">
      <c r="A25">
        <f t="shared" si="1"/>
        <v>34</v>
      </c>
      <c r="B25">
        <v>26700</v>
      </c>
      <c r="C25">
        <v>4500</v>
      </c>
    </row>
    <row r="26" spans="1:3" x14ac:dyDescent="0.25">
      <c r="A26">
        <f t="shared" si="1"/>
        <v>35</v>
      </c>
      <c r="B26">
        <v>27500</v>
      </c>
      <c r="C26">
        <v>6000</v>
      </c>
    </row>
    <row r="27" spans="1:3" x14ac:dyDescent="0.25">
      <c r="A27">
        <f t="shared" si="1"/>
        <v>36</v>
      </c>
      <c r="B27">
        <v>29200</v>
      </c>
      <c r="C27">
        <v>7500</v>
      </c>
    </row>
    <row r="28" spans="1:3" x14ac:dyDescent="0.25">
      <c r="A28">
        <f t="shared" si="1"/>
        <v>37</v>
      </c>
      <c r="B28">
        <v>33000</v>
      </c>
      <c r="C28">
        <v>8000</v>
      </c>
    </row>
    <row r="29" spans="1:3" x14ac:dyDescent="0.25">
      <c r="A29">
        <f t="shared" si="1"/>
        <v>38</v>
      </c>
      <c r="B29">
        <v>35100</v>
      </c>
      <c r="C29">
        <v>9000</v>
      </c>
    </row>
    <row r="30" spans="1:3" x14ac:dyDescent="0.25">
      <c r="A30">
        <f t="shared" si="1"/>
        <v>39</v>
      </c>
      <c r="B30">
        <v>37400</v>
      </c>
      <c r="C30">
        <v>7000</v>
      </c>
    </row>
    <row r="31" spans="1:3" x14ac:dyDescent="0.25">
      <c r="A31">
        <f t="shared" si="1"/>
        <v>40</v>
      </c>
      <c r="B31">
        <v>39500</v>
      </c>
      <c r="C31">
        <v>12000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9"/>
  <sheetViews>
    <sheetView workbookViewId="0"/>
  </sheetViews>
  <sheetFormatPr defaultRowHeight="15" x14ac:dyDescent="0.25"/>
  <sheetData>
    <row r="1" spans="1:3" x14ac:dyDescent="0.25">
      <c r="A1" s="1" t="s">
        <v>519</v>
      </c>
    </row>
    <row r="3" spans="1:3" x14ac:dyDescent="0.25">
      <c r="A3" s="286" t="s">
        <v>520</v>
      </c>
      <c r="B3" s="286" t="s">
        <v>521</v>
      </c>
      <c r="C3" s="286" t="s">
        <v>17</v>
      </c>
    </row>
    <row r="4" spans="1:3" x14ac:dyDescent="0.25">
      <c r="A4" s="287" t="s">
        <v>465</v>
      </c>
      <c r="B4">
        <v>50</v>
      </c>
      <c r="C4">
        <v>74</v>
      </c>
    </row>
    <row r="5" spans="1:3" x14ac:dyDescent="0.25">
      <c r="A5" s="287" t="s">
        <v>522</v>
      </c>
      <c r="B5">
        <v>78</v>
      </c>
      <c r="C5">
        <v>95</v>
      </c>
    </row>
    <row r="6" spans="1:3" x14ac:dyDescent="0.25">
      <c r="A6" s="287" t="s">
        <v>523</v>
      </c>
      <c r="B6">
        <v>65</v>
      </c>
      <c r="C6">
        <v>87</v>
      </c>
    </row>
    <row r="7" spans="1:3" x14ac:dyDescent="0.25">
      <c r="A7" s="287" t="s">
        <v>524</v>
      </c>
      <c r="B7">
        <v>112</v>
      </c>
      <c r="C7">
        <v>156</v>
      </c>
    </row>
    <row r="8" spans="1:3" x14ac:dyDescent="0.25">
      <c r="A8" s="287" t="s">
        <v>525</v>
      </c>
      <c r="B8">
        <v>32</v>
      </c>
      <c r="C8">
        <v>54</v>
      </c>
    </row>
    <row r="9" spans="1:3" x14ac:dyDescent="0.25">
      <c r="A9" s="281" t="s">
        <v>190</v>
      </c>
      <c r="B9" s="162">
        <v>101</v>
      </c>
      <c r="C9" s="162">
        <v>142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4"/>
  <sheetViews>
    <sheetView workbookViewId="0"/>
  </sheetViews>
  <sheetFormatPr defaultRowHeight="15" x14ac:dyDescent="0.25"/>
  <cols>
    <col min="6" max="6" width="4.42578125" customWidth="1"/>
    <col min="9" max="9" width="4.85546875" customWidth="1"/>
  </cols>
  <sheetData>
    <row r="1" spans="1:11" x14ac:dyDescent="0.25">
      <c r="A1" s="1" t="s">
        <v>455</v>
      </c>
      <c r="D1" t="s">
        <v>453</v>
      </c>
      <c r="G1" t="s">
        <v>182</v>
      </c>
      <c r="J1" t="s">
        <v>454</v>
      </c>
    </row>
    <row r="3" spans="1:11" x14ac:dyDescent="0.25">
      <c r="A3" s="272" t="s">
        <v>357</v>
      </c>
      <c r="B3" s="272" t="s">
        <v>17</v>
      </c>
      <c r="D3" s="272" t="s">
        <v>357</v>
      </c>
      <c r="E3" s="272" t="s">
        <v>17</v>
      </c>
      <c r="G3" s="272" t="e">
        <f t="array" aca="1" ref="G3:H14" ca="1">QSORTRows(D3:E14,1,,TRUE)</f>
        <v>#NAME?</v>
      </c>
      <c r="H3" s="272" t="e">
        <f ca="1"/>
        <v>#NAME?</v>
      </c>
      <c r="J3" s="272" t="s">
        <v>357</v>
      </c>
      <c r="K3" s="272" t="s">
        <v>17</v>
      </c>
    </row>
    <row r="4" spans="1:11" x14ac:dyDescent="0.25">
      <c r="A4">
        <v>1</v>
      </c>
      <c r="B4">
        <v>5</v>
      </c>
      <c r="D4">
        <f t="shared" ref="D4:D9" si="0">A4</f>
        <v>1</v>
      </c>
      <c r="E4">
        <v>5</v>
      </c>
      <c r="G4" t="e">
        <f ca="1"/>
        <v>#NAME?</v>
      </c>
      <c r="H4" t="e">
        <f ca="1"/>
        <v>#NAME?</v>
      </c>
      <c r="J4" t="e">
        <f ca="1">G4</f>
        <v>#NAME?</v>
      </c>
      <c r="K4" t="e">
        <f ca="1">H4</f>
        <v>#NAME?</v>
      </c>
    </row>
    <row r="5" spans="1:11" x14ac:dyDescent="0.25">
      <c r="A5">
        <v>2</v>
      </c>
      <c r="B5">
        <v>7</v>
      </c>
      <c r="D5">
        <f t="shared" si="0"/>
        <v>2</v>
      </c>
      <c r="E5">
        <v>7</v>
      </c>
      <c r="G5" t="e">
        <f ca="1"/>
        <v>#NAME?</v>
      </c>
      <c r="H5" t="e">
        <f ca="1"/>
        <v>#NAME?</v>
      </c>
      <c r="J5" t="e">
        <f ca="1">G5</f>
        <v>#NAME?</v>
      </c>
      <c r="K5" t="e">
        <f ca="1">K4</f>
        <v>#NAME?</v>
      </c>
    </row>
    <row r="6" spans="1:11" x14ac:dyDescent="0.25">
      <c r="A6">
        <v>3</v>
      </c>
      <c r="B6">
        <v>4</v>
      </c>
      <c r="D6">
        <f t="shared" si="0"/>
        <v>3</v>
      </c>
      <c r="E6">
        <v>4</v>
      </c>
      <c r="G6" t="e">
        <f ca="1"/>
        <v>#NAME?</v>
      </c>
      <c r="H6" t="e">
        <f ca="1"/>
        <v>#NAME?</v>
      </c>
      <c r="J6" t="e">
        <f t="shared" ref="J6:J13" ca="1" si="1">G6</f>
        <v>#NAME?</v>
      </c>
      <c r="K6" t="e">
        <f ca="1">H6</f>
        <v>#NAME?</v>
      </c>
    </row>
    <row r="7" spans="1:11" x14ac:dyDescent="0.25">
      <c r="A7">
        <v>4</v>
      </c>
      <c r="B7">
        <v>8</v>
      </c>
      <c r="D7">
        <f t="shared" si="0"/>
        <v>4</v>
      </c>
      <c r="E7">
        <v>8</v>
      </c>
      <c r="G7" t="e">
        <f ca="1"/>
        <v>#NAME?</v>
      </c>
      <c r="H7" t="e">
        <f ca="1"/>
        <v>#NAME?</v>
      </c>
      <c r="J7" t="e">
        <f t="shared" ca="1" si="1"/>
        <v>#NAME?</v>
      </c>
      <c r="K7" t="e">
        <f ca="1">K6</f>
        <v>#NAME?</v>
      </c>
    </row>
    <row r="8" spans="1:11" x14ac:dyDescent="0.25">
      <c r="A8">
        <v>5</v>
      </c>
      <c r="B8">
        <v>10</v>
      </c>
      <c r="D8" s="8">
        <f t="shared" si="0"/>
        <v>5</v>
      </c>
      <c r="E8" s="8">
        <v>10</v>
      </c>
      <c r="F8" s="8"/>
      <c r="G8" s="8" t="e">
        <f ca="1"/>
        <v>#NAME?</v>
      </c>
      <c r="H8" s="8" t="e">
        <f ca="1"/>
        <v>#NAME?</v>
      </c>
      <c r="J8" t="e">
        <f t="shared" ca="1" si="1"/>
        <v>#NAME?</v>
      </c>
      <c r="K8" t="e">
        <f ca="1">H8</f>
        <v>#NAME?</v>
      </c>
    </row>
    <row r="9" spans="1:11" x14ac:dyDescent="0.25">
      <c r="A9" s="162">
        <v>6</v>
      </c>
      <c r="B9" s="162">
        <v>14</v>
      </c>
      <c r="D9" s="8">
        <f t="shared" si="0"/>
        <v>6</v>
      </c>
      <c r="E9" s="8">
        <v>14</v>
      </c>
      <c r="F9" s="8"/>
      <c r="G9" s="8" t="e">
        <f ca="1"/>
        <v>#NAME?</v>
      </c>
      <c r="H9" s="8" t="e">
        <f ca="1"/>
        <v>#NAME?</v>
      </c>
      <c r="J9" t="e">
        <f t="shared" ca="1" si="1"/>
        <v>#NAME?</v>
      </c>
      <c r="K9" t="e">
        <f ca="1">K8</f>
        <v>#NAME?</v>
      </c>
    </row>
    <row r="10" spans="1:11" x14ac:dyDescent="0.25">
      <c r="D10" s="8">
        <f>A5</f>
        <v>2</v>
      </c>
      <c r="E10" s="8">
        <v>7</v>
      </c>
      <c r="F10" s="8"/>
      <c r="G10" s="8" t="e">
        <f ca="1"/>
        <v>#NAME?</v>
      </c>
      <c r="H10" s="8" t="e">
        <f ca="1"/>
        <v>#NAME?</v>
      </c>
      <c r="J10" t="e">
        <f t="shared" ca="1" si="1"/>
        <v>#NAME?</v>
      </c>
      <c r="K10" t="e">
        <f ca="1">H10</f>
        <v>#NAME?</v>
      </c>
    </row>
    <row r="11" spans="1:11" x14ac:dyDescent="0.25">
      <c r="D11" s="8">
        <f>A6</f>
        <v>3</v>
      </c>
      <c r="E11" s="8">
        <v>4</v>
      </c>
      <c r="F11" s="8"/>
      <c r="G11" s="8" t="e">
        <f ca="1"/>
        <v>#NAME?</v>
      </c>
      <c r="H11" s="8" t="e">
        <f ca="1"/>
        <v>#NAME?</v>
      </c>
      <c r="J11" t="e">
        <f t="shared" ca="1" si="1"/>
        <v>#NAME?</v>
      </c>
      <c r="K11" t="e">
        <f ca="1">K10</f>
        <v>#NAME?</v>
      </c>
    </row>
    <row r="12" spans="1:11" x14ac:dyDescent="0.25">
      <c r="D12" s="8">
        <f>A7</f>
        <v>4</v>
      </c>
      <c r="E12" s="8">
        <v>8</v>
      </c>
      <c r="F12" s="8"/>
      <c r="G12" s="8" t="e">
        <f ca="1"/>
        <v>#NAME?</v>
      </c>
      <c r="H12" s="8" t="e">
        <f ca="1"/>
        <v>#NAME?</v>
      </c>
      <c r="J12" t="e">
        <f t="shared" ca="1" si="1"/>
        <v>#NAME?</v>
      </c>
      <c r="K12" t="e">
        <f ca="1">H12</f>
        <v>#NAME?</v>
      </c>
    </row>
    <row r="13" spans="1:11" x14ac:dyDescent="0.25">
      <c r="D13">
        <f>A8</f>
        <v>5</v>
      </c>
      <c r="E13">
        <v>10</v>
      </c>
      <c r="G13" t="e">
        <f ca="1"/>
        <v>#NAME?</v>
      </c>
      <c r="H13" t="e">
        <f ca="1"/>
        <v>#NAME?</v>
      </c>
      <c r="J13" t="e">
        <f t="shared" ca="1" si="1"/>
        <v>#NAME?</v>
      </c>
      <c r="K13" t="e">
        <f ca="1">K12</f>
        <v>#NAME?</v>
      </c>
    </row>
    <row r="14" spans="1:11" x14ac:dyDescent="0.25">
      <c r="D14" s="162">
        <f>A9</f>
        <v>6</v>
      </c>
      <c r="E14" s="162">
        <v>14</v>
      </c>
      <c r="G14" s="162" t="e">
        <f ca="1"/>
        <v>#NAME?</v>
      </c>
      <c r="H14" s="162" t="e">
        <f ca="1"/>
        <v>#NAME?</v>
      </c>
      <c r="J14" s="162" t="e">
        <f ca="1">G14</f>
        <v>#NAME?</v>
      </c>
      <c r="K14" s="162">
        <v>14</v>
      </c>
    </row>
  </sheetData>
  <pageMargins left="0.7" right="0.7" top="0.75" bottom="0.75" header="0.3" footer="0.3"/>
  <ignoredErrors>
    <ignoredError sqref="K5:K11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workbookViewId="0"/>
  </sheetViews>
  <sheetFormatPr defaultRowHeight="15" x14ac:dyDescent="0.25"/>
  <cols>
    <col min="1" max="4" width="9.5703125" customWidth="1"/>
  </cols>
  <sheetData>
    <row r="1" spans="1:7" x14ac:dyDescent="0.25">
      <c r="A1" s="1" t="s">
        <v>14</v>
      </c>
    </row>
    <row r="3" spans="1:7" x14ac:dyDescent="0.25">
      <c r="A3" s="13"/>
      <c r="B3" s="14" t="s">
        <v>15</v>
      </c>
      <c r="C3" s="14" t="s">
        <v>16</v>
      </c>
      <c r="D3" s="14" t="s">
        <v>17</v>
      </c>
    </row>
    <row r="4" spans="1:7" x14ac:dyDescent="0.25">
      <c r="A4" s="15" t="s">
        <v>18</v>
      </c>
      <c r="B4" s="16">
        <v>500</v>
      </c>
      <c r="C4" s="17">
        <v>40</v>
      </c>
      <c r="D4" s="16">
        <f t="array" ref="D4:D7">B4:B7*C4:C7</f>
        <v>20000</v>
      </c>
      <c r="G4" s="18"/>
    </row>
    <row r="5" spans="1:7" x14ac:dyDescent="0.25">
      <c r="A5" s="15" t="s">
        <v>19</v>
      </c>
      <c r="B5" s="16">
        <v>80</v>
      </c>
      <c r="C5" s="17">
        <v>30</v>
      </c>
      <c r="D5" s="16">
        <v>2400</v>
      </c>
    </row>
    <row r="6" spans="1:7" x14ac:dyDescent="0.25">
      <c r="A6" s="15" t="s">
        <v>20</v>
      </c>
      <c r="B6" s="16">
        <v>150</v>
      </c>
      <c r="C6" s="17">
        <v>130</v>
      </c>
      <c r="D6" s="16">
        <v>19500</v>
      </c>
    </row>
    <row r="7" spans="1:7" x14ac:dyDescent="0.25">
      <c r="A7" s="15" t="s">
        <v>21</v>
      </c>
      <c r="B7" s="16">
        <v>60</v>
      </c>
      <c r="C7" s="17">
        <v>70</v>
      </c>
      <c r="D7" s="16">
        <v>4200</v>
      </c>
    </row>
    <row r="8" spans="1:7" x14ac:dyDescent="0.25">
      <c r="A8" s="13"/>
      <c r="B8" s="17"/>
      <c r="C8" s="17"/>
      <c r="D8" s="16"/>
    </row>
    <row r="9" spans="1:7" x14ac:dyDescent="0.25">
      <c r="A9" s="13"/>
      <c r="B9" s="13"/>
      <c r="C9" s="13"/>
      <c r="D9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"/>
  <sheetViews>
    <sheetView workbookViewId="0"/>
  </sheetViews>
  <sheetFormatPr defaultRowHeight="15" x14ac:dyDescent="0.25"/>
  <cols>
    <col min="1" max="1" width="12" customWidth="1"/>
    <col min="2" max="2" width="11" customWidth="1"/>
    <col min="4" max="4" width="11.140625" customWidth="1"/>
  </cols>
  <sheetData>
    <row r="1" spans="1:9" x14ac:dyDescent="0.25">
      <c r="A1" s="1" t="s">
        <v>24</v>
      </c>
    </row>
    <row r="3" spans="1:9" x14ac:dyDescent="0.25">
      <c r="A3" s="19" t="s">
        <v>25</v>
      </c>
      <c r="B3" s="19" t="s">
        <v>26</v>
      </c>
      <c r="D3" t="str">
        <f t="array" ref="D3:I4">TRANSPOSE(A3:B8)</f>
        <v>Area Code</v>
      </c>
      <c r="E3">
        <v>345</v>
      </c>
      <c r="F3">
        <v>378</v>
      </c>
      <c r="G3">
        <v>678</v>
      </c>
      <c r="H3">
        <v>712</v>
      </c>
      <c r="I3">
        <v>815</v>
      </c>
    </row>
    <row r="4" spans="1:9" x14ac:dyDescent="0.25">
      <c r="A4">
        <v>345</v>
      </c>
      <c r="B4">
        <v>230000</v>
      </c>
      <c r="D4" t="str">
        <v>Population</v>
      </c>
      <c r="E4">
        <v>230000</v>
      </c>
      <c r="F4">
        <v>340000</v>
      </c>
      <c r="G4">
        <v>145000</v>
      </c>
      <c r="H4">
        <v>235900</v>
      </c>
      <c r="I4">
        <v>195000</v>
      </c>
    </row>
    <row r="5" spans="1:9" x14ac:dyDescent="0.25">
      <c r="A5">
        <v>378</v>
      </c>
      <c r="B5">
        <v>340000</v>
      </c>
    </row>
    <row r="6" spans="1:9" x14ac:dyDescent="0.25">
      <c r="A6">
        <v>678</v>
      </c>
      <c r="B6">
        <v>145000</v>
      </c>
    </row>
    <row r="7" spans="1:9" x14ac:dyDescent="0.25">
      <c r="A7">
        <v>712</v>
      </c>
      <c r="B7">
        <v>235900</v>
      </c>
    </row>
    <row r="8" spans="1:9" x14ac:dyDescent="0.25">
      <c r="A8">
        <v>815</v>
      </c>
      <c r="B8">
        <v>195000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2" filterMode="1"/>
  <dimension ref="A1:P25"/>
  <sheetViews>
    <sheetView workbookViewId="0">
      <selection sqref="A1:P25"/>
    </sheetView>
  </sheetViews>
  <sheetFormatPr defaultRowHeight="15" x14ac:dyDescent="0.25"/>
  <cols>
    <col min="2" max="3" width="9.140625" style="192"/>
    <col min="7" max="8" width="9.140625" style="192"/>
  </cols>
  <sheetData>
    <row r="1" spans="1:16" x14ac:dyDescent="0.25">
      <c r="A1" s="1" t="s">
        <v>341</v>
      </c>
      <c r="F1" t="s">
        <v>344</v>
      </c>
      <c r="K1" t="s">
        <v>352</v>
      </c>
      <c r="L1" s="192"/>
      <c r="M1" s="192"/>
      <c r="P1" t="s">
        <v>345</v>
      </c>
    </row>
    <row r="2" spans="1:16" x14ac:dyDescent="0.25">
      <c r="L2" s="192"/>
      <c r="M2" s="192"/>
    </row>
    <row r="3" spans="1:16" s="189" customFormat="1" x14ac:dyDescent="0.25">
      <c r="A3" s="188" t="s">
        <v>137</v>
      </c>
      <c r="B3" s="191" t="s">
        <v>185</v>
      </c>
      <c r="C3" s="191" t="s">
        <v>22</v>
      </c>
      <c r="D3" s="188" t="s">
        <v>23</v>
      </c>
      <c r="F3" s="191" t="s">
        <v>137</v>
      </c>
      <c r="G3" s="191" t="s">
        <v>185</v>
      </c>
      <c r="H3" s="191" t="s">
        <v>22</v>
      </c>
      <c r="I3" s="191" t="s">
        <v>23</v>
      </c>
      <c r="J3" s="193"/>
      <c r="K3" s="191" t="s">
        <v>137</v>
      </c>
      <c r="L3" s="191" t="s">
        <v>185</v>
      </c>
      <c r="M3" s="191" t="s">
        <v>22</v>
      </c>
      <c r="N3" s="191" t="s">
        <v>23</v>
      </c>
      <c r="P3" s="191" t="s">
        <v>23</v>
      </c>
    </row>
    <row r="4" spans="1:16" x14ac:dyDescent="0.25">
      <c r="A4" t="s">
        <v>201</v>
      </c>
      <c r="B4" s="192" t="s">
        <v>149</v>
      </c>
      <c r="C4" s="192">
        <v>35</v>
      </c>
      <c r="D4">
        <v>45000</v>
      </c>
      <c r="F4" s="8" t="s">
        <v>204</v>
      </c>
      <c r="G4" s="193" t="s">
        <v>149</v>
      </c>
      <c r="H4" s="193">
        <v>45</v>
      </c>
      <c r="I4" s="8">
        <v>30000</v>
      </c>
      <c r="K4" s="8" t="s">
        <v>204</v>
      </c>
      <c r="L4" s="193" t="s">
        <v>149</v>
      </c>
      <c r="M4" s="193">
        <v>45</v>
      </c>
      <c r="N4" s="8">
        <v>30000</v>
      </c>
      <c r="P4">
        <v>45000</v>
      </c>
    </row>
    <row r="5" spans="1:16" x14ac:dyDescent="0.25">
      <c r="A5" t="s">
        <v>203</v>
      </c>
      <c r="B5" s="192" t="s">
        <v>192</v>
      </c>
      <c r="C5" s="192">
        <v>40</v>
      </c>
      <c r="D5">
        <v>40000</v>
      </c>
      <c r="F5" t="s">
        <v>200</v>
      </c>
      <c r="G5" s="192" t="s">
        <v>192</v>
      </c>
      <c r="H5" s="192">
        <v>55</v>
      </c>
      <c r="I5">
        <v>35000</v>
      </c>
      <c r="K5" t="s">
        <v>350</v>
      </c>
      <c r="L5" s="192" t="s">
        <v>192</v>
      </c>
      <c r="M5" s="192">
        <v>40</v>
      </c>
      <c r="N5">
        <v>35000</v>
      </c>
      <c r="P5">
        <v>40000</v>
      </c>
    </row>
    <row r="6" spans="1:16" x14ac:dyDescent="0.25">
      <c r="A6" t="s">
        <v>200</v>
      </c>
      <c r="B6" s="192" t="s">
        <v>192</v>
      </c>
      <c r="C6" s="192">
        <v>55</v>
      </c>
      <c r="D6">
        <v>35000</v>
      </c>
      <c r="F6" t="s">
        <v>350</v>
      </c>
      <c r="G6" s="192" t="s">
        <v>192</v>
      </c>
      <c r="H6" s="192">
        <v>40</v>
      </c>
      <c r="I6">
        <v>35000</v>
      </c>
      <c r="K6" t="s">
        <v>200</v>
      </c>
      <c r="L6" s="192" t="s">
        <v>192</v>
      </c>
      <c r="M6" s="192">
        <v>55</v>
      </c>
      <c r="N6">
        <v>35000</v>
      </c>
      <c r="P6">
        <v>35000</v>
      </c>
    </row>
    <row r="7" spans="1:16" x14ac:dyDescent="0.25">
      <c r="A7" s="8" t="s">
        <v>342</v>
      </c>
      <c r="B7" s="193" t="s">
        <v>149</v>
      </c>
      <c r="C7" s="193">
        <v>25</v>
      </c>
      <c r="D7" s="8">
        <v>80000</v>
      </c>
      <c r="F7" s="8" t="s">
        <v>343</v>
      </c>
      <c r="G7" s="193" t="s">
        <v>192</v>
      </c>
      <c r="H7" s="193">
        <v>30</v>
      </c>
      <c r="I7" s="8">
        <v>35000</v>
      </c>
      <c r="J7" s="8"/>
      <c r="K7" s="8" t="s">
        <v>343</v>
      </c>
      <c r="L7" s="193" t="s">
        <v>192</v>
      </c>
      <c r="M7" s="193">
        <v>30</v>
      </c>
      <c r="N7" s="8">
        <v>35000</v>
      </c>
      <c r="P7" s="8">
        <v>80000</v>
      </c>
    </row>
    <row r="8" spans="1:16" x14ac:dyDescent="0.25">
      <c r="A8" t="s">
        <v>350</v>
      </c>
      <c r="B8" s="192" t="s">
        <v>192</v>
      </c>
      <c r="C8" s="192">
        <v>40</v>
      </c>
      <c r="D8">
        <v>35000</v>
      </c>
      <c r="F8" t="s">
        <v>203</v>
      </c>
      <c r="G8" s="192" t="s">
        <v>192</v>
      </c>
      <c r="H8" s="192">
        <v>40</v>
      </c>
      <c r="I8">
        <v>40000</v>
      </c>
      <c r="K8" t="s">
        <v>203</v>
      </c>
      <c r="L8" s="192" t="s">
        <v>192</v>
      </c>
      <c r="M8" s="192">
        <v>40</v>
      </c>
      <c r="N8">
        <v>40000</v>
      </c>
      <c r="P8">
        <v>60000</v>
      </c>
    </row>
    <row r="9" spans="1:16" x14ac:dyDescent="0.25">
      <c r="A9" t="s">
        <v>351</v>
      </c>
      <c r="B9" s="192" t="s">
        <v>149</v>
      </c>
      <c r="C9" s="192">
        <v>40</v>
      </c>
      <c r="D9">
        <v>45000</v>
      </c>
      <c r="F9" t="s">
        <v>201</v>
      </c>
      <c r="G9" s="192" t="s">
        <v>149</v>
      </c>
      <c r="H9" s="192">
        <v>35</v>
      </c>
      <c r="I9">
        <v>45000</v>
      </c>
      <c r="K9" t="s">
        <v>351</v>
      </c>
      <c r="L9" s="192" t="s">
        <v>149</v>
      </c>
      <c r="M9" s="192">
        <v>40</v>
      </c>
      <c r="N9">
        <v>45000</v>
      </c>
      <c r="P9" s="8">
        <v>30000</v>
      </c>
    </row>
    <row r="10" spans="1:16" x14ac:dyDescent="0.25">
      <c r="A10" t="s">
        <v>202</v>
      </c>
      <c r="B10" s="192" t="s">
        <v>192</v>
      </c>
      <c r="C10" s="192">
        <v>60</v>
      </c>
      <c r="D10">
        <v>60000</v>
      </c>
      <c r="F10" t="s">
        <v>351</v>
      </c>
      <c r="G10" s="192" t="s">
        <v>149</v>
      </c>
      <c r="H10" s="192">
        <v>40</v>
      </c>
      <c r="I10">
        <v>45000</v>
      </c>
      <c r="K10" t="s">
        <v>201</v>
      </c>
      <c r="L10" s="192" t="s">
        <v>149</v>
      </c>
      <c r="M10" s="192">
        <v>35</v>
      </c>
      <c r="N10">
        <v>45000</v>
      </c>
    </row>
    <row r="11" spans="1:16" x14ac:dyDescent="0.25">
      <c r="A11" s="8" t="s">
        <v>343</v>
      </c>
      <c r="B11" s="193" t="s">
        <v>192</v>
      </c>
      <c r="C11" s="193">
        <v>30</v>
      </c>
      <c r="D11" s="8">
        <v>35000</v>
      </c>
      <c r="F11" t="s">
        <v>202</v>
      </c>
      <c r="G11" s="192" t="s">
        <v>192</v>
      </c>
      <c r="H11" s="192">
        <v>60</v>
      </c>
      <c r="I11">
        <v>60000</v>
      </c>
      <c r="J11" s="8"/>
      <c r="K11" t="s">
        <v>202</v>
      </c>
      <c r="L11" s="192" t="s">
        <v>192</v>
      </c>
      <c r="M11" s="192">
        <v>60</v>
      </c>
      <c r="N11">
        <v>60000</v>
      </c>
    </row>
    <row r="12" spans="1:16" x14ac:dyDescent="0.25">
      <c r="A12" s="162" t="s">
        <v>204</v>
      </c>
      <c r="B12" s="190" t="s">
        <v>149</v>
      </c>
      <c r="C12" s="190">
        <v>45</v>
      </c>
      <c r="D12" s="162">
        <v>30000</v>
      </c>
      <c r="F12" s="162" t="s">
        <v>342</v>
      </c>
      <c r="G12" s="190" t="s">
        <v>149</v>
      </c>
      <c r="H12" s="190">
        <v>25</v>
      </c>
      <c r="I12" s="162">
        <v>80000</v>
      </c>
      <c r="J12" s="8"/>
      <c r="K12" s="162" t="s">
        <v>342</v>
      </c>
      <c r="L12" s="190" t="s">
        <v>149</v>
      </c>
      <c r="M12" s="190">
        <v>25</v>
      </c>
      <c r="N12" s="162">
        <v>80000</v>
      </c>
    </row>
    <row r="14" spans="1:16" x14ac:dyDescent="0.25">
      <c r="A14" t="s">
        <v>346</v>
      </c>
    </row>
    <row r="16" spans="1:16" x14ac:dyDescent="0.25">
      <c r="A16" s="191" t="s">
        <v>137</v>
      </c>
      <c r="B16" s="191" t="s">
        <v>185</v>
      </c>
      <c r="C16" s="191" t="s">
        <v>22</v>
      </c>
      <c r="D16" s="191" t="s">
        <v>23</v>
      </c>
      <c r="F16" s="113" t="str">
        <f t="shared" ref="F16:I19" si="0">A16</f>
        <v>Person</v>
      </c>
      <c r="G16" s="113" t="str">
        <f t="shared" si="0"/>
        <v>Gender</v>
      </c>
      <c r="H16" s="113" t="str">
        <f t="shared" si="0"/>
        <v>Age</v>
      </c>
      <c r="I16" s="113" t="str">
        <f t="shared" si="0"/>
        <v>Income</v>
      </c>
    </row>
    <row r="17" spans="1:9" x14ac:dyDescent="0.25">
      <c r="A17" t="s">
        <v>201</v>
      </c>
      <c r="B17" s="192" t="s">
        <v>149</v>
      </c>
      <c r="C17" s="192">
        <v>35</v>
      </c>
      <c r="D17">
        <v>45000</v>
      </c>
      <c r="F17" t="str">
        <f t="shared" si="0"/>
        <v>Mary</v>
      </c>
      <c r="G17" t="str">
        <f t="shared" si="0"/>
        <v>F</v>
      </c>
      <c r="H17">
        <f t="shared" si="0"/>
        <v>35</v>
      </c>
      <c r="I17">
        <f t="shared" si="0"/>
        <v>45000</v>
      </c>
    </row>
    <row r="18" spans="1:9" x14ac:dyDescent="0.25">
      <c r="A18" t="s">
        <v>203</v>
      </c>
      <c r="B18" s="192" t="s">
        <v>192</v>
      </c>
      <c r="C18" s="192">
        <v>40</v>
      </c>
      <c r="D18">
        <v>40000</v>
      </c>
      <c r="F18" t="str">
        <f t="shared" si="0"/>
        <v>Bob</v>
      </c>
      <c r="G18" t="str">
        <f t="shared" si="0"/>
        <v>M</v>
      </c>
      <c r="H18">
        <f t="shared" si="0"/>
        <v>40</v>
      </c>
      <c r="I18">
        <f t="shared" si="0"/>
        <v>40000</v>
      </c>
    </row>
    <row r="19" spans="1:9" x14ac:dyDescent="0.25">
      <c r="A19" t="s">
        <v>200</v>
      </c>
      <c r="B19" s="192" t="s">
        <v>192</v>
      </c>
      <c r="C19" s="192">
        <v>55</v>
      </c>
      <c r="D19">
        <v>35000</v>
      </c>
      <c r="F19" t="str">
        <f t="shared" si="0"/>
        <v>Jim</v>
      </c>
      <c r="G19" t="str">
        <f t="shared" si="0"/>
        <v>M</v>
      </c>
      <c r="H19">
        <f t="shared" si="0"/>
        <v>55</v>
      </c>
      <c r="I19">
        <f t="shared" si="0"/>
        <v>35000</v>
      </c>
    </row>
    <row r="20" spans="1:9" hidden="1" x14ac:dyDescent="0.25">
      <c r="A20" s="8" t="s">
        <v>342</v>
      </c>
      <c r="B20" s="193" t="s">
        <v>149</v>
      </c>
      <c r="C20" s="193">
        <v>25</v>
      </c>
      <c r="D20" s="8">
        <v>80000</v>
      </c>
    </row>
    <row r="21" spans="1:9" x14ac:dyDescent="0.25">
      <c r="A21" t="s">
        <v>350</v>
      </c>
      <c r="B21" s="192" t="s">
        <v>192</v>
      </c>
      <c r="C21" s="192">
        <v>40</v>
      </c>
      <c r="D21">
        <v>35000</v>
      </c>
      <c r="F21" t="str">
        <f t="shared" ref="F21:I22" si="1">A21</f>
        <v>Alan</v>
      </c>
      <c r="G21" t="str">
        <f t="shared" si="1"/>
        <v>M</v>
      </c>
      <c r="H21">
        <f t="shared" si="1"/>
        <v>40</v>
      </c>
      <c r="I21">
        <f t="shared" si="1"/>
        <v>35000</v>
      </c>
    </row>
    <row r="22" spans="1:9" x14ac:dyDescent="0.25">
      <c r="A22" t="s">
        <v>351</v>
      </c>
      <c r="B22" s="192" t="s">
        <v>149</v>
      </c>
      <c r="C22" s="192">
        <v>40</v>
      </c>
      <c r="D22">
        <v>45000</v>
      </c>
      <c r="F22" t="str">
        <f t="shared" si="1"/>
        <v>Debra</v>
      </c>
      <c r="G22" t="str">
        <f t="shared" si="1"/>
        <v>F</v>
      </c>
      <c r="H22">
        <f t="shared" si="1"/>
        <v>40</v>
      </c>
      <c r="I22">
        <f t="shared" si="1"/>
        <v>45000</v>
      </c>
    </row>
    <row r="23" spans="1:9" hidden="1" x14ac:dyDescent="0.25">
      <c r="A23" t="s">
        <v>202</v>
      </c>
      <c r="B23" s="192" t="s">
        <v>192</v>
      </c>
      <c r="C23" s="192">
        <v>60</v>
      </c>
      <c r="D23">
        <v>60000</v>
      </c>
    </row>
    <row r="24" spans="1:9" x14ac:dyDescent="0.25">
      <c r="A24" s="8" t="s">
        <v>343</v>
      </c>
      <c r="B24" s="193" t="s">
        <v>192</v>
      </c>
      <c r="C24" s="193">
        <v>30</v>
      </c>
      <c r="D24" s="8">
        <v>35000</v>
      </c>
      <c r="F24" s="162" t="str">
        <f>A24</f>
        <v>Steve</v>
      </c>
      <c r="G24" s="162" t="str">
        <f>B24</f>
        <v>M</v>
      </c>
      <c r="H24" s="162">
        <f>C24</f>
        <v>30</v>
      </c>
      <c r="I24" s="162">
        <f>D24</f>
        <v>35000</v>
      </c>
    </row>
    <row r="25" spans="1:9" hidden="1" x14ac:dyDescent="0.25">
      <c r="A25" s="162" t="s">
        <v>204</v>
      </c>
      <c r="B25" s="190" t="s">
        <v>149</v>
      </c>
      <c r="C25" s="190">
        <v>45</v>
      </c>
      <c r="D25" s="162">
        <v>30000</v>
      </c>
    </row>
  </sheetData>
  <autoFilter ref="A16:D25">
    <filterColumn colId="3">
      <customFilters and="1">
        <customFilter operator="greaterThanOrEqual" val="35000"/>
        <customFilter operator="lessThanOrEqual" val="45000"/>
      </customFilters>
    </filterColumn>
  </autoFilter>
  <sortState ref="F4:I12">
    <sortCondition ref="I4:I1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8"/>
  <dimension ref="A1:E4"/>
  <sheetViews>
    <sheetView workbookViewId="0"/>
  </sheetViews>
  <sheetFormatPr defaultRowHeight="15" x14ac:dyDescent="0.25"/>
  <cols>
    <col min="1" max="1" width="6.5703125" customWidth="1"/>
  </cols>
  <sheetData>
    <row r="1" spans="1:5" x14ac:dyDescent="0.25">
      <c r="A1" s="1" t="s">
        <v>400</v>
      </c>
    </row>
    <row r="3" spans="1:5" x14ac:dyDescent="0.25">
      <c r="A3" t="s">
        <v>402</v>
      </c>
      <c r="B3" s="216">
        <f>B4^2</f>
        <v>10.999991953216556</v>
      </c>
      <c r="D3" t="s">
        <v>402</v>
      </c>
      <c r="E3" s="216">
        <f>E4^2</f>
        <v>11.000015248414535</v>
      </c>
    </row>
    <row r="4" spans="1:5" x14ac:dyDescent="0.25">
      <c r="A4" t="s">
        <v>28</v>
      </c>
      <c r="B4" s="218">
        <v>3.3166235772569301</v>
      </c>
      <c r="D4" t="s">
        <v>28</v>
      </c>
      <c r="E4" s="218">
        <v>-3.3166270891395877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9"/>
  <dimension ref="A1:U31"/>
  <sheetViews>
    <sheetView workbookViewId="0"/>
  </sheetViews>
  <sheetFormatPr defaultRowHeight="15" x14ac:dyDescent="0.25"/>
  <cols>
    <col min="6" max="6" width="5" customWidth="1"/>
    <col min="10" max="10" width="5" customWidth="1"/>
    <col min="12" max="12" width="5" customWidth="1"/>
  </cols>
  <sheetData>
    <row r="1" spans="1:21" x14ac:dyDescent="0.25">
      <c r="A1" s="1" t="s">
        <v>396</v>
      </c>
      <c r="P1" t="s">
        <v>285</v>
      </c>
    </row>
    <row r="2" spans="1:21" x14ac:dyDescent="0.25">
      <c r="A2" s="1"/>
    </row>
    <row r="3" spans="1:21" x14ac:dyDescent="0.25">
      <c r="A3" s="24" t="s">
        <v>250</v>
      </c>
      <c r="E3" t="s">
        <v>251</v>
      </c>
      <c r="G3" t="s">
        <v>252</v>
      </c>
      <c r="K3" t="s">
        <v>253</v>
      </c>
      <c r="M3" t="s">
        <v>254</v>
      </c>
      <c r="P3" t="s">
        <v>286</v>
      </c>
      <c r="S3" t="s">
        <v>291</v>
      </c>
      <c r="U3" t="s">
        <v>292</v>
      </c>
    </row>
    <row r="5" spans="1:21" x14ac:dyDescent="0.25">
      <c r="A5" s="225">
        <v>3</v>
      </c>
      <c r="B5" s="226">
        <v>5</v>
      </c>
      <c r="C5" s="227">
        <v>8</v>
      </c>
      <c r="E5" s="122" t="e">
        <f t="array" aca="1" ref="E5:E16" ca="1">RESHAPE(A5:C8)</f>
        <v>#NAME?</v>
      </c>
      <c r="G5" s="119" t="e">
        <f t="array" aca="1" ref="G5:I8" ca="1">REVERSE(A5:C8)</f>
        <v>#NAME?</v>
      </c>
      <c r="H5" s="121" t="e">
        <f ca="1"/>
        <v>#NAME?</v>
      </c>
      <c r="I5" s="120" t="e">
        <f ca="1"/>
        <v>#NAME?</v>
      </c>
      <c r="K5" s="122" t="e">
        <f t="array" aca="1" ref="K5:K16" ca="1">QSORT(A5:C8)</f>
        <v>#NAME?</v>
      </c>
      <c r="M5" s="122" t="e">
        <f t="array" aca="1" ref="M5:M16" ca="1">NODUPES(A5:C8)</f>
        <v>#NAME?</v>
      </c>
      <c r="P5" s="163" t="s">
        <v>289</v>
      </c>
      <c r="Q5" s="155" t="s">
        <v>288</v>
      </c>
      <c r="S5" s="157" t="e">
        <f t="array" aca="1" ref="S5:S10" ca="1">SortUnique(P5:Q8,"-")</f>
        <v>#NAME?</v>
      </c>
      <c r="U5" s="157" t="e">
        <f t="array" aca="1" ref="U5:U10" ca="1">ExtractUnique(P5:Q8,"-")</f>
        <v>#NAME?</v>
      </c>
    </row>
    <row r="6" spans="1:21" x14ac:dyDescent="0.25">
      <c r="A6" s="228">
        <v>15</v>
      </c>
      <c r="B6" s="79"/>
      <c r="C6" s="229" t="s">
        <v>178</v>
      </c>
      <c r="E6" s="91" t="e">
        <f ca="1"/>
        <v>#NAME?</v>
      </c>
      <c r="G6" s="92" t="e">
        <f ca="1"/>
        <v>#NAME?</v>
      </c>
      <c r="H6" s="8" t="e">
        <f ca="1"/>
        <v>#NAME?</v>
      </c>
      <c r="I6" s="93" t="e">
        <f ca="1"/>
        <v>#NAME?</v>
      </c>
      <c r="K6" s="91" t="e">
        <f ca="1"/>
        <v>#NAME?</v>
      </c>
      <c r="M6" s="91" t="e">
        <f ca="1"/>
        <v>#NAME?</v>
      </c>
      <c r="P6" s="164" t="s">
        <v>287</v>
      </c>
      <c r="Q6" s="165" t="s">
        <v>260</v>
      </c>
      <c r="S6" s="91" t="e">
        <f ca="1"/>
        <v>#NAME?</v>
      </c>
      <c r="U6" s="91" t="e">
        <f ca="1"/>
        <v>#NAME?</v>
      </c>
    </row>
    <row r="7" spans="1:21" x14ac:dyDescent="0.25">
      <c r="A7" s="228">
        <v>5</v>
      </c>
      <c r="B7" s="79" t="s">
        <v>178</v>
      </c>
      <c r="C7" s="229">
        <v>0</v>
      </c>
      <c r="E7" s="91" t="e">
        <f ca="1"/>
        <v>#NAME?</v>
      </c>
      <c r="G7" s="92" t="e">
        <f ca="1"/>
        <v>#NAME?</v>
      </c>
      <c r="H7" s="8" t="e">
        <f ca="1"/>
        <v>#NAME?</v>
      </c>
      <c r="I7" s="93" t="e">
        <f ca="1"/>
        <v>#NAME?</v>
      </c>
      <c r="K7" s="91" t="e">
        <f ca="1"/>
        <v>#NAME?</v>
      </c>
      <c r="M7" s="91" t="e">
        <f ca="1"/>
        <v>#NAME?</v>
      </c>
      <c r="P7" s="164" t="s">
        <v>288</v>
      </c>
      <c r="Q7" s="165" t="s">
        <v>289</v>
      </c>
      <c r="S7" s="91" t="e">
        <f ca="1"/>
        <v>#NAME?</v>
      </c>
      <c r="U7" s="91" t="e">
        <f ca="1"/>
        <v>#NAME?</v>
      </c>
    </row>
    <row r="8" spans="1:21" x14ac:dyDescent="0.25">
      <c r="A8" s="230">
        <v>12</v>
      </c>
      <c r="B8" s="231" t="s">
        <v>146</v>
      </c>
      <c r="C8" s="232">
        <v>8</v>
      </c>
      <c r="E8" s="91" t="e">
        <f ca="1"/>
        <v>#NAME?</v>
      </c>
      <c r="G8" s="80" t="e">
        <f ca="1"/>
        <v>#NAME?</v>
      </c>
      <c r="H8" s="11" t="e">
        <f ca="1"/>
        <v>#NAME?</v>
      </c>
      <c r="I8" s="83" t="e">
        <f ca="1"/>
        <v>#NAME?</v>
      </c>
      <c r="K8" s="91" t="e">
        <f ca="1"/>
        <v>#NAME?</v>
      </c>
      <c r="M8" s="91" t="e">
        <f ca="1"/>
        <v>#NAME?</v>
      </c>
      <c r="P8" s="88" t="s">
        <v>260</v>
      </c>
      <c r="Q8" s="153" t="s">
        <v>290</v>
      </c>
      <c r="S8" s="91" t="e">
        <f ca="1"/>
        <v>#NAME?</v>
      </c>
      <c r="U8" s="91" t="e">
        <f ca="1"/>
        <v>#NAME?</v>
      </c>
    </row>
    <row r="9" spans="1:21" x14ac:dyDescent="0.25">
      <c r="E9" s="91" t="e">
        <f ca="1"/>
        <v>#NAME?</v>
      </c>
      <c r="K9" s="91" t="e">
        <f ca="1"/>
        <v>#NAME?</v>
      </c>
      <c r="M9" s="91" t="e">
        <f ca="1"/>
        <v>#NAME?</v>
      </c>
      <c r="S9" s="91" t="e">
        <f ca="1"/>
        <v>#NAME?</v>
      </c>
      <c r="U9" s="91" t="e">
        <f ca="1"/>
        <v>#NAME?</v>
      </c>
    </row>
    <row r="10" spans="1:21" x14ac:dyDescent="0.25">
      <c r="E10" s="91" t="e">
        <f ca="1"/>
        <v>#NAME?</v>
      </c>
      <c r="K10" s="91" t="e">
        <f ca="1"/>
        <v>#NAME?</v>
      </c>
      <c r="M10" s="91" t="e">
        <f ca="1"/>
        <v>#NAME?</v>
      </c>
      <c r="S10" s="85" t="e">
        <f ca="1"/>
        <v>#NAME?</v>
      </c>
      <c r="U10" s="85" t="e">
        <f ca="1"/>
        <v>#NAME?</v>
      </c>
    </row>
    <row r="11" spans="1:21" x14ac:dyDescent="0.25">
      <c r="E11" s="91" t="e">
        <f ca="1"/>
        <v>#NAME?</v>
      </c>
      <c r="K11" s="91" t="e">
        <f ca="1"/>
        <v>#NAME?</v>
      </c>
      <c r="M11" s="91" t="e">
        <f ca="1"/>
        <v>#NAME?</v>
      </c>
    </row>
    <row r="12" spans="1:21" x14ac:dyDescent="0.25">
      <c r="E12" s="91" t="e">
        <f ca="1"/>
        <v>#NAME?</v>
      </c>
      <c r="K12" s="91" t="e">
        <f ca="1"/>
        <v>#NAME?</v>
      </c>
      <c r="M12" s="91" t="e">
        <f ca="1"/>
        <v>#NAME?</v>
      </c>
    </row>
    <row r="13" spans="1:21" x14ac:dyDescent="0.25">
      <c r="E13" s="91" t="e">
        <f ca="1"/>
        <v>#NAME?</v>
      </c>
      <c r="K13" s="91" t="e">
        <f ca="1"/>
        <v>#NAME?</v>
      </c>
      <c r="M13" s="91" t="e">
        <f ca="1"/>
        <v>#NAME?</v>
      </c>
    </row>
    <row r="14" spans="1:21" x14ac:dyDescent="0.25">
      <c r="E14" s="91" t="e">
        <f ca="1"/>
        <v>#NAME?</v>
      </c>
      <c r="K14" s="91" t="e">
        <f ca="1"/>
        <v>#NAME?</v>
      </c>
      <c r="M14" s="91" t="e">
        <f ca="1"/>
        <v>#NAME?</v>
      </c>
    </row>
    <row r="15" spans="1:21" x14ac:dyDescent="0.25">
      <c r="E15" s="91" t="e">
        <f ca="1"/>
        <v>#NAME?</v>
      </c>
      <c r="K15" s="91" t="e">
        <f ca="1"/>
        <v>#NAME?</v>
      </c>
      <c r="M15" s="91" t="e">
        <f ca="1"/>
        <v>#NAME?</v>
      </c>
    </row>
    <row r="16" spans="1:21" x14ac:dyDescent="0.25">
      <c r="E16" s="85" t="e">
        <f ca="1"/>
        <v>#NAME?</v>
      </c>
      <c r="K16" s="85" t="e">
        <f ca="1"/>
        <v>#NAME?</v>
      </c>
      <c r="M16" s="85" t="e">
        <f ca="1"/>
        <v>#NAME?</v>
      </c>
    </row>
    <row r="19" spans="7:13" x14ac:dyDescent="0.25">
      <c r="G19" t="s">
        <v>397</v>
      </c>
      <c r="H19" s="195" t="e">
        <f ca="1">COUNTU(A5:C8)</f>
        <v>#NAME?</v>
      </c>
      <c r="M19" s="195" t="e">
        <f t="array" aca="1" ref="M19:M31" ca="1">NODUPES(K5:K16,,FALSE)</f>
        <v>#NAME?</v>
      </c>
    </row>
    <row r="20" spans="7:13" x14ac:dyDescent="0.25">
      <c r="G20" t="s">
        <v>398</v>
      </c>
      <c r="H20" s="85" t="e">
        <f ca="1">COUNTAU(A5:C8)</f>
        <v>#NAME?</v>
      </c>
      <c r="M20" s="91" t="e">
        <f ca="1"/>
        <v>#NAME?</v>
      </c>
    </row>
    <row r="21" spans="7:13" x14ac:dyDescent="0.25">
      <c r="M21" s="91" t="e">
        <f ca="1"/>
        <v>#NAME?</v>
      </c>
    </row>
    <row r="22" spans="7:13" x14ac:dyDescent="0.25">
      <c r="M22" s="91" t="e">
        <f ca="1"/>
        <v>#NAME?</v>
      </c>
    </row>
    <row r="23" spans="7:13" x14ac:dyDescent="0.25">
      <c r="M23" s="91" t="e">
        <f ca="1"/>
        <v>#NAME?</v>
      </c>
    </row>
    <row r="24" spans="7:13" x14ac:dyDescent="0.25">
      <c r="M24" s="91" t="e">
        <f ca="1"/>
        <v>#NAME?</v>
      </c>
    </row>
    <row r="25" spans="7:13" x14ac:dyDescent="0.25">
      <c r="M25" s="91" t="e">
        <f ca="1"/>
        <v>#NAME?</v>
      </c>
    </row>
    <row r="26" spans="7:13" x14ac:dyDescent="0.25">
      <c r="M26" s="91" t="e">
        <f ca="1"/>
        <v>#NAME?</v>
      </c>
    </row>
    <row r="27" spans="7:13" x14ac:dyDescent="0.25">
      <c r="M27" s="91" t="e">
        <f ca="1"/>
        <v>#NAME?</v>
      </c>
    </row>
    <row r="28" spans="7:13" x14ac:dyDescent="0.25">
      <c r="M28" s="91" t="e">
        <f ca="1"/>
        <v>#NAME?</v>
      </c>
    </row>
    <row r="29" spans="7:13" x14ac:dyDescent="0.25">
      <c r="M29" s="91" t="e">
        <f ca="1"/>
        <v>#NAME?</v>
      </c>
    </row>
    <row r="30" spans="7:13" x14ac:dyDescent="0.25">
      <c r="M30" s="91" t="e">
        <f ca="1"/>
        <v>#NAME?</v>
      </c>
    </row>
    <row r="31" spans="7:13" x14ac:dyDescent="0.25">
      <c r="M31" s="85" t="e">
        <f ca="1"/>
        <v>#NAME?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0"/>
  <dimension ref="A1:K10"/>
  <sheetViews>
    <sheetView workbookViewId="0">
      <selection activeCell="H1" sqref="H1"/>
    </sheetView>
  </sheetViews>
  <sheetFormatPr defaultRowHeight="15" x14ac:dyDescent="0.25"/>
  <sheetData>
    <row r="1" spans="1:11" x14ac:dyDescent="0.25">
      <c r="A1" s="1" t="s">
        <v>396</v>
      </c>
    </row>
    <row r="2" spans="1:11" x14ac:dyDescent="0.25">
      <c r="A2" s="1"/>
    </row>
    <row r="3" spans="1:11" x14ac:dyDescent="0.25">
      <c r="A3" s="24" t="s">
        <v>250</v>
      </c>
      <c r="E3" t="s">
        <v>253</v>
      </c>
      <c r="H3" t="s">
        <v>829</v>
      </c>
    </row>
    <row r="5" spans="1:11" x14ac:dyDescent="0.25">
      <c r="A5" s="225">
        <v>3</v>
      </c>
      <c r="B5" s="226">
        <v>5</v>
      </c>
      <c r="C5" s="227">
        <v>8</v>
      </c>
      <c r="E5" s="196" t="e">
        <f t="array" aca="1" ref="E5:F10" ca="1">QSORT(A5:C8)</f>
        <v>#NAME?</v>
      </c>
      <c r="F5" s="197" t="e">
        <f ca="1"/>
        <v>#NAME?</v>
      </c>
      <c r="H5" s="308" t="e">
        <f t="array" aca="1" ref="H5:K7" ca="1">SEQ(,,-2,3)</f>
        <v>#NAME?</v>
      </c>
      <c r="I5" s="178" t="e">
        <f ca="1"/>
        <v>#NAME?</v>
      </c>
      <c r="J5" s="178" t="e">
        <f ca="1"/>
        <v>#NAME?</v>
      </c>
      <c r="K5" s="309" t="e">
        <f ca="1"/>
        <v>#NAME?</v>
      </c>
    </row>
    <row r="6" spans="1:11" x14ac:dyDescent="0.25">
      <c r="A6" s="228">
        <v>15</v>
      </c>
      <c r="B6" s="79">
        <v>-1</v>
      </c>
      <c r="C6" s="229">
        <v>3</v>
      </c>
      <c r="E6" s="92" t="e">
        <f ca="1"/>
        <v>#NAME?</v>
      </c>
      <c r="F6" s="93" t="e">
        <f ca="1"/>
        <v>#NAME?</v>
      </c>
      <c r="H6" s="92" t="e">
        <f ca="1"/>
        <v>#NAME?</v>
      </c>
      <c r="I6" s="8" t="e">
        <f ca="1"/>
        <v>#NAME?</v>
      </c>
      <c r="J6" s="8" t="e">
        <f ca="1"/>
        <v>#NAME?</v>
      </c>
      <c r="K6" s="93" t="e">
        <f ca="1"/>
        <v>#NAME?</v>
      </c>
    </row>
    <row r="7" spans="1:11" x14ac:dyDescent="0.25">
      <c r="A7" s="228">
        <v>5</v>
      </c>
      <c r="B7" s="79">
        <v>2</v>
      </c>
      <c r="C7" s="229">
        <v>0</v>
      </c>
      <c r="E7" s="92" t="e">
        <f ca="1"/>
        <v>#NAME?</v>
      </c>
      <c r="F7" s="93" t="e">
        <f ca="1"/>
        <v>#NAME?</v>
      </c>
      <c r="H7" s="381" t="e">
        <f ca="1"/>
        <v>#NAME?</v>
      </c>
      <c r="I7" s="379" t="e">
        <f ca="1"/>
        <v>#NAME?</v>
      </c>
      <c r="J7" s="379" t="e">
        <f ca="1"/>
        <v>#NAME?</v>
      </c>
      <c r="K7" s="382" t="e">
        <f ca="1"/>
        <v>#NAME?</v>
      </c>
    </row>
    <row r="8" spans="1:11" x14ac:dyDescent="0.25">
      <c r="A8" s="230">
        <v>12</v>
      </c>
      <c r="B8" s="231">
        <v>-4</v>
      </c>
      <c r="C8" s="232">
        <v>8</v>
      </c>
      <c r="E8" s="92" t="e">
        <f ca="1"/>
        <v>#NAME?</v>
      </c>
      <c r="F8" s="93" t="e">
        <f ca="1"/>
        <v>#NAME?</v>
      </c>
    </row>
    <row r="9" spans="1:11" x14ac:dyDescent="0.25">
      <c r="E9" s="92" t="e">
        <f ca="1"/>
        <v>#NAME?</v>
      </c>
      <c r="F9" s="93" t="e">
        <f ca="1"/>
        <v>#NAME?</v>
      </c>
    </row>
    <row r="10" spans="1:11" x14ac:dyDescent="0.25">
      <c r="E10" s="80" t="e">
        <f ca="1"/>
        <v>#NAME?</v>
      </c>
      <c r="F10" s="83" t="e">
        <f ca="1"/>
        <v>#NAME?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3"/>
  <dimension ref="A1:AG26"/>
  <sheetViews>
    <sheetView workbookViewId="0"/>
  </sheetViews>
  <sheetFormatPr defaultRowHeight="15" x14ac:dyDescent="0.25"/>
  <cols>
    <col min="2" max="3" width="7.85546875" customWidth="1"/>
    <col min="4" max="4" width="6" customWidth="1"/>
    <col min="5" max="5" width="3.7109375" customWidth="1"/>
    <col min="7" max="8" width="8" customWidth="1"/>
    <col min="9" max="9" width="3.7109375" customWidth="1"/>
    <col min="11" max="12" width="7.5703125" customWidth="1"/>
    <col min="13" max="13" width="4.7109375" customWidth="1"/>
    <col min="14" max="14" width="3.7109375" customWidth="1"/>
    <col min="16" max="17" width="7.28515625" customWidth="1"/>
    <col min="18" max="18" width="5.42578125" customWidth="1"/>
    <col min="19" max="19" width="2.28515625" customWidth="1"/>
    <col min="22" max="22" width="8.140625" customWidth="1"/>
    <col min="23" max="23" width="5.140625" customWidth="1"/>
    <col min="24" max="24" width="5.7109375" customWidth="1"/>
    <col min="27" max="27" width="8.140625" customWidth="1"/>
    <col min="28" max="28" width="5.140625" customWidth="1"/>
    <col min="29" max="29" width="3.28515625" customWidth="1"/>
    <col min="32" max="32" width="8.140625" customWidth="1"/>
    <col min="33" max="33" width="5" customWidth="1"/>
  </cols>
  <sheetData>
    <row r="1" spans="1:33" x14ac:dyDescent="0.25">
      <c r="A1" s="1" t="s">
        <v>279</v>
      </c>
      <c r="T1" s="1" t="s">
        <v>259</v>
      </c>
      <c r="Y1" s="22" t="s">
        <v>280</v>
      </c>
      <c r="AD1" s="22" t="s">
        <v>293</v>
      </c>
    </row>
    <row r="3" spans="1:33" x14ac:dyDescent="0.25">
      <c r="A3" s="154" t="s">
        <v>145</v>
      </c>
      <c r="B3" s="5" t="s">
        <v>260</v>
      </c>
      <c r="C3" s="5" t="s">
        <v>263</v>
      </c>
      <c r="D3" s="156">
        <v>45</v>
      </c>
      <c r="F3" s="22" t="s">
        <v>264</v>
      </c>
      <c r="J3" s="22" t="s">
        <v>265</v>
      </c>
      <c r="O3" s="22" t="s">
        <v>266</v>
      </c>
      <c r="T3" s="154" t="s">
        <v>145</v>
      </c>
      <c r="U3" s="5" t="s">
        <v>260</v>
      </c>
      <c r="V3" s="5" t="s">
        <v>263</v>
      </c>
      <c r="W3" s="156">
        <v>45</v>
      </c>
      <c r="Y3" s="154" t="e">
        <f t="array" aca="1" ref="Y3:AB14" ca="1">QSORTRows(T3:W14,4)</f>
        <v>#NAME?</v>
      </c>
      <c r="Z3" s="5" t="e">
        <f ca="1"/>
        <v>#NAME?</v>
      </c>
      <c r="AA3" s="5" t="e">
        <f ca="1"/>
        <v>#NAME?</v>
      </c>
      <c r="AB3" s="156" t="e">
        <f ca="1"/>
        <v>#NAME?</v>
      </c>
      <c r="AD3" s="154" t="e">
        <f t="array" aca="1" ref="AD3:AG14" ca="1">QSORTRows(T3:W14)</f>
        <v>#NAME?</v>
      </c>
      <c r="AE3" s="169" t="e">
        <f ca="1"/>
        <v>#NAME?</v>
      </c>
      <c r="AF3" s="169" t="e">
        <f ca="1"/>
        <v>#NAME?</v>
      </c>
      <c r="AG3" s="156" t="e">
        <f ca="1"/>
        <v>#NAME?</v>
      </c>
    </row>
    <row r="4" spans="1:33" x14ac:dyDescent="0.25">
      <c r="A4" s="92" t="s">
        <v>142</v>
      </c>
      <c r="B4" s="8" t="s">
        <v>261</v>
      </c>
      <c r="C4" s="8" t="s">
        <v>143</v>
      </c>
      <c r="D4" s="93">
        <v>35</v>
      </c>
      <c r="T4" s="92" t="s">
        <v>142</v>
      </c>
      <c r="U4" s="8" t="s">
        <v>261</v>
      </c>
      <c r="V4" s="8" t="s">
        <v>143</v>
      </c>
      <c r="W4" s="93">
        <v>35</v>
      </c>
      <c r="Y4" s="92" t="e">
        <f ca="1"/>
        <v>#NAME?</v>
      </c>
      <c r="Z4" s="8" t="e">
        <f ca="1"/>
        <v>#NAME?</v>
      </c>
      <c r="AA4" s="8" t="e">
        <f ca="1"/>
        <v>#NAME?</v>
      </c>
      <c r="AB4" s="93" t="e">
        <f ca="1"/>
        <v>#NAME?</v>
      </c>
      <c r="AD4" s="92" t="e">
        <f ca="1"/>
        <v>#NAME?</v>
      </c>
      <c r="AE4" s="8" t="e">
        <f ca="1"/>
        <v>#NAME?</v>
      </c>
      <c r="AF4" s="8" t="e">
        <f ca="1"/>
        <v>#NAME?</v>
      </c>
      <c r="AG4" s="93" t="e">
        <f ca="1"/>
        <v>#NAME?</v>
      </c>
    </row>
    <row r="5" spans="1:33" x14ac:dyDescent="0.25">
      <c r="A5" s="92" t="s">
        <v>145</v>
      </c>
      <c r="B5" s="8" t="s">
        <v>262</v>
      </c>
      <c r="C5" s="8" t="s">
        <v>263</v>
      </c>
      <c r="D5" s="93">
        <v>15</v>
      </c>
      <c r="F5" s="154" t="e">
        <f t="array" aca="1" ref="F5:H13" ca="1">SortRowsUnique(A3:C14)</f>
        <v>#NAME?</v>
      </c>
      <c r="G5" s="5" t="e">
        <f ca="1"/>
        <v>#NAME?</v>
      </c>
      <c r="H5" s="156" t="e">
        <f ca="1"/>
        <v>#NAME?</v>
      </c>
      <c r="J5" s="154" t="e">
        <f t="array" aca="1" ref="J5:M12" ca="1">SortRowsCount(A3:C14)</f>
        <v>#NAME?</v>
      </c>
      <c r="K5" s="5" t="e">
        <f ca="1"/>
        <v>#NAME?</v>
      </c>
      <c r="L5" s="5" t="e">
        <f ca="1"/>
        <v>#NAME?</v>
      </c>
      <c r="M5" s="156" t="e">
        <f ca="1"/>
        <v>#NAME?</v>
      </c>
      <c r="O5" s="154" t="e">
        <f t="array" aca="1" ref="O5:R13" ca="1">SortRowsSum(A3:D14,"")</f>
        <v>#NAME?</v>
      </c>
      <c r="P5" s="5" t="e">
        <f ca="1"/>
        <v>#NAME?</v>
      </c>
      <c r="Q5" s="5" t="e">
        <f ca="1"/>
        <v>#NAME?</v>
      </c>
      <c r="R5" s="156" t="e">
        <f ca="1"/>
        <v>#NAME?</v>
      </c>
      <c r="T5" s="92" t="s">
        <v>145</v>
      </c>
      <c r="U5" s="8" t="s">
        <v>262</v>
      </c>
      <c r="V5" s="8" t="s">
        <v>263</v>
      </c>
      <c r="W5" s="93">
        <v>15</v>
      </c>
      <c r="Y5" s="92" t="e">
        <f ca="1"/>
        <v>#NAME?</v>
      </c>
      <c r="Z5" s="8" t="e">
        <f ca="1"/>
        <v>#NAME?</v>
      </c>
      <c r="AA5" s="8" t="e">
        <f ca="1"/>
        <v>#NAME?</v>
      </c>
      <c r="AB5" s="93" t="e">
        <f ca="1"/>
        <v>#NAME?</v>
      </c>
      <c r="AD5" s="92" t="e">
        <f ca="1"/>
        <v>#NAME?</v>
      </c>
      <c r="AE5" s="8" t="e">
        <f ca="1"/>
        <v>#NAME?</v>
      </c>
      <c r="AF5" s="8" t="e">
        <f ca="1"/>
        <v>#NAME?</v>
      </c>
      <c r="AG5" s="93" t="e">
        <f ca="1"/>
        <v>#NAME?</v>
      </c>
    </row>
    <row r="6" spans="1:33" x14ac:dyDescent="0.25">
      <c r="A6" s="92" t="s">
        <v>145</v>
      </c>
      <c r="B6" s="8" t="s">
        <v>262</v>
      </c>
      <c r="C6" s="8" t="s">
        <v>263</v>
      </c>
      <c r="D6" s="93">
        <v>40</v>
      </c>
      <c r="F6" s="92" t="e">
        <f ca="1"/>
        <v>#NAME?</v>
      </c>
      <c r="G6" s="8" t="e">
        <f ca="1"/>
        <v>#NAME?</v>
      </c>
      <c r="H6" s="93" t="e">
        <f ca="1"/>
        <v>#NAME?</v>
      </c>
      <c r="J6" s="92" t="e">
        <f ca="1"/>
        <v>#NAME?</v>
      </c>
      <c r="K6" s="8" t="e">
        <f ca="1"/>
        <v>#NAME?</v>
      </c>
      <c r="L6" s="8" t="e">
        <f ca="1"/>
        <v>#NAME?</v>
      </c>
      <c r="M6" s="93" t="e">
        <f ca="1"/>
        <v>#NAME?</v>
      </c>
      <c r="O6" s="92" t="e">
        <f ca="1"/>
        <v>#NAME?</v>
      </c>
      <c r="P6" s="8" t="e">
        <f ca="1"/>
        <v>#NAME?</v>
      </c>
      <c r="Q6" s="8" t="e">
        <f ca="1"/>
        <v>#NAME?</v>
      </c>
      <c r="R6" s="93" t="e">
        <f ca="1"/>
        <v>#NAME?</v>
      </c>
      <c r="T6" s="92" t="s">
        <v>145</v>
      </c>
      <c r="U6" s="8" t="s">
        <v>262</v>
      </c>
      <c r="V6" s="8" t="s">
        <v>263</v>
      </c>
      <c r="W6" s="93">
        <v>40</v>
      </c>
      <c r="Y6" s="92" t="e">
        <f ca="1"/>
        <v>#NAME?</v>
      </c>
      <c r="Z6" s="8" t="e">
        <f ca="1"/>
        <v>#NAME?</v>
      </c>
      <c r="AA6" s="8" t="e">
        <f ca="1"/>
        <v>#NAME?</v>
      </c>
      <c r="AB6" s="93" t="e">
        <f ca="1"/>
        <v>#NAME?</v>
      </c>
      <c r="AD6" s="92" t="e">
        <f ca="1"/>
        <v>#NAME?</v>
      </c>
      <c r="AE6" s="8" t="e">
        <f ca="1"/>
        <v>#NAME?</v>
      </c>
      <c r="AF6" s="8" t="e">
        <f ca="1"/>
        <v>#NAME?</v>
      </c>
      <c r="AG6" s="93" t="e">
        <f ca="1"/>
        <v>#NAME?</v>
      </c>
    </row>
    <row r="7" spans="1:33" x14ac:dyDescent="0.25">
      <c r="A7" s="92" t="s">
        <v>142</v>
      </c>
      <c r="B7" s="8" t="s">
        <v>261</v>
      </c>
      <c r="C7" s="8" t="s">
        <v>263</v>
      </c>
      <c r="D7" s="93">
        <v>25</v>
      </c>
      <c r="F7" s="92" t="e">
        <f ca="1"/>
        <v>#NAME?</v>
      </c>
      <c r="G7" s="8" t="e">
        <f ca="1"/>
        <v>#NAME?</v>
      </c>
      <c r="H7" s="93" t="e">
        <f ca="1"/>
        <v>#NAME?</v>
      </c>
      <c r="J7" s="92" t="e">
        <f ca="1"/>
        <v>#NAME?</v>
      </c>
      <c r="K7" s="8" t="e">
        <f ca="1"/>
        <v>#NAME?</v>
      </c>
      <c r="L7" s="8" t="e">
        <f ca="1"/>
        <v>#NAME?</v>
      </c>
      <c r="M7" s="93" t="e">
        <f ca="1"/>
        <v>#NAME?</v>
      </c>
      <c r="O7" s="92" t="e">
        <f ca="1"/>
        <v>#NAME?</v>
      </c>
      <c r="P7" s="8" t="e">
        <f ca="1"/>
        <v>#NAME?</v>
      </c>
      <c r="Q7" s="8" t="e">
        <f ca="1"/>
        <v>#NAME?</v>
      </c>
      <c r="R7" s="93" t="e">
        <f ca="1"/>
        <v>#NAME?</v>
      </c>
      <c r="T7" s="92" t="s">
        <v>142</v>
      </c>
      <c r="U7" s="8" t="s">
        <v>261</v>
      </c>
      <c r="V7" s="8" t="s">
        <v>263</v>
      </c>
      <c r="W7" s="93">
        <v>25</v>
      </c>
      <c r="Y7" s="92" t="e">
        <f ca="1"/>
        <v>#NAME?</v>
      </c>
      <c r="Z7" s="8" t="e">
        <f ca="1"/>
        <v>#NAME?</v>
      </c>
      <c r="AA7" s="8" t="e">
        <f ca="1"/>
        <v>#NAME?</v>
      </c>
      <c r="AB7" s="93" t="e">
        <f ca="1"/>
        <v>#NAME?</v>
      </c>
      <c r="AD7" s="92" t="e">
        <f ca="1"/>
        <v>#NAME?</v>
      </c>
      <c r="AE7" s="8" t="e">
        <f ca="1"/>
        <v>#NAME?</v>
      </c>
      <c r="AF7" s="8" t="e">
        <f ca="1"/>
        <v>#NAME?</v>
      </c>
      <c r="AG7" s="93" t="e">
        <f ca="1"/>
        <v>#NAME?</v>
      </c>
    </row>
    <row r="8" spans="1:33" x14ac:dyDescent="0.25">
      <c r="A8" s="92" t="s">
        <v>145</v>
      </c>
      <c r="B8" s="8" t="s">
        <v>262</v>
      </c>
      <c r="C8" s="8" t="s">
        <v>143</v>
      </c>
      <c r="D8" s="93">
        <v>20</v>
      </c>
      <c r="F8" s="92" t="e">
        <f ca="1"/>
        <v>#NAME?</v>
      </c>
      <c r="G8" s="8" t="e">
        <f ca="1"/>
        <v>#NAME?</v>
      </c>
      <c r="H8" s="93" t="e">
        <f ca="1"/>
        <v>#NAME?</v>
      </c>
      <c r="J8" s="92" t="e">
        <f ca="1"/>
        <v>#NAME?</v>
      </c>
      <c r="K8" s="8" t="e">
        <f ca="1"/>
        <v>#NAME?</v>
      </c>
      <c r="L8" s="8" t="e">
        <f ca="1"/>
        <v>#NAME?</v>
      </c>
      <c r="M8" s="93" t="e">
        <f ca="1"/>
        <v>#NAME?</v>
      </c>
      <c r="O8" s="92" t="e">
        <f ca="1"/>
        <v>#NAME?</v>
      </c>
      <c r="P8" s="8" t="e">
        <f ca="1"/>
        <v>#NAME?</v>
      </c>
      <c r="Q8" s="8" t="e">
        <f ca="1"/>
        <v>#NAME?</v>
      </c>
      <c r="R8" s="93" t="e">
        <f ca="1"/>
        <v>#NAME?</v>
      </c>
      <c r="T8" s="92" t="s">
        <v>145</v>
      </c>
      <c r="U8" s="8" t="s">
        <v>262</v>
      </c>
      <c r="V8" s="8" t="s">
        <v>143</v>
      </c>
      <c r="W8" s="93">
        <v>20</v>
      </c>
      <c r="Y8" s="92" t="e">
        <f ca="1"/>
        <v>#NAME?</v>
      </c>
      <c r="Z8" s="8" t="e">
        <f ca="1"/>
        <v>#NAME?</v>
      </c>
      <c r="AA8" s="8" t="e">
        <f ca="1"/>
        <v>#NAME?</v>
      </c>
      <c r="AB8" s="93" t="e">
        <f ca="1"/>
        <v>#NAME?</v>
      </c>
      <c r="AD8" s="92" t="e">
        <f ca="1"/>
        <v>#NAME?</v>
      </c>
      <c r="AE8" s="8" t="e">
        <f ca="1"/>
        <v>#NAME?</v>
      </c>
      <c r="AF8" s="8" t="e">
        <f ca="1"/>
        <v>#NAME?</v>
      </c>
      <c r="AG8" s="93" t="e">
        <f ca="1"/>
        <v>#NAME?</v>
      </c>
    </row>
    <row r="9" spans="1:33" x14ac:dyDescent="0.25">
      <c r="A9" s="92" t="s">
        <v>142</v>
      </c>
      <c r="B9" s="8" t="s">
        <v>260</v>
      </c>
      <c r="C9" s="8" t="s">
        <v>263</v>
      </c>
      <c r="D9" s="93">
        <v>10</v>
      </c>
      <c r="F9" s="92" t="e">
        <f ca="1"/>
        <v>#NAME?</v>
      </c>
      <c r="G9" s="8" t="e">
        <f ca="1"/>
        <v>#NAME?</v>
      </c>
      <c r="H9" s="93" t="e">
        <f ca="1"/>
        <v>#NAME?</v>
      </c>
      <c r="J9" s="92" t="e">
        <f ca="1"/>
        <v>#NAME?</v>
      </c>
      <c r="K9" s="8" t="e">
        <f ca="1"/>
        <v>#NAME?</v>
      </c>
      <c r="L9" s="8" t="e">
        <f ca="1"/>
        <v>#NAME?</v>
      </c>
      <c r="M9" s="93" t="e">
        <f ca="1"/>
        <v>#NAME?</v>
      </c>
      <c r="O9" s="92" t="e">
        <f ca="1"/>
        <v>#NAME?</v>
      </c>
      <c r="P9" s="8" t="e">
        <f ca="1"/>
        <v>#NAME?</v>
      </c>
      <c r="Q9" s="8" t="e">
        <f ca="1"/>
        <v>#NAME?</v>
      </c>
      <c r="R9" s="93" t="e">
        <f ca="1"/>
        <v>#NAME?</v>
      </c>
      <c r="T9" s="92" t="s">
        <v>142</v>
      </c>
      <c r="U9" s="8" t="s">
        <v>260</v>
      </c>
      <c r="V9" s="8" t="s">
        <v>263</v>
      </c>
      <c r="W9" s="93">
        <v>10</v>
      </c>
      <c r="Y9" s="92" t="e">
        <f ca="1"/>
        <v>#NAME?</v>
      </c>
      <c r="Z9" s="8" t="e">
        <f ca="1"/>
        <v>#NAME?</v>
      </c>
      <c r="AA9" s="8" t="e">
        <f ca="1"/>
        <v>#NAME?</v>
      </c>
      <c r="AB9" s="93" t="e">
        <f ca="1"/>
        <v>#NAME?</v>
      </c>
      <c r="AD9" s="92" t="e">
        <f ca="1"/>
        <v>#NAME?</v>
      </c>
      <c r="AE9" s="8" t="e">
        <f ca="1"/>
        <v>#NAME?</v>
      </c>
      <c r="AF9" s="8" t="e">
        <f ca="1"/>
        <v>#NAME?</v>
      </c>
      <c r="AG9" s="93" t="e">
        <f ca="1"/>
        <v>#NAME?</v>
      </c>
    </row>
    <row r="10" spans="1:33" x14ac:dyDescent="0.25">
      <c r="A10" s="92" t="s">
        <v>142</v>
      </c>
      <c r="B10" s="8" t="s">
        <v>261</v>
      </c>
      <c r="C10" s="8" t="s">
        <v>263</v>
      </c>
      <c r="D10" s="93">
        <v>50</v>
      </c>
      <c r="F10" s="92" t="e">
        <f ca="1"/>
        <v>#NAME?</v>
      </c>
      <c r="G10" s="8" t="e">
        <f ca="1"/>
        <v>#NAME?</v>
      </c>
      <c r="H10" s="93" t="e">
        <f ca="1"/>
        <v>#NAME?</v>
      </c>
      <c r="J10" s="92" t="e">
        <f ca="1"/>
        <v>#NAME?</v>
      </c>
      <c r="K10" s="8" t="e">
        <f ca="1"/>
        <v>#NAME?</v>
      </c>
      <c r="L10" s="8" t="e">
        <f ca="1"/>
        <v>#NAME?</v>
      </c>
      <c r="M10" s="93" t="e">
        <f ca="1"/>
        <v>#NAME?</v>
      </c>
      <c r="O10" s="92" t="e">
        <f ca="1"/>
        <v>#NAME?</v>
      </c>
      <c r="P10" s="8" t="e">
        <f ca="1"/>
        <v>#NAME?</v>
      </c>
      <c r="Q10" s="8" t="e">
        <f ca="1"/>
        <v>#NAME?</v>
      </c>
      <c r="R10" s="93" t="e">
        <f ca="1"/>
        <v>#NAME?</v>
      </c>
      <c r="T10" s="92" t="s">
        <v>142</v>
      </c>
      <c r="U10" s="8" t="s">
        <v>261</v>
      </c>
      <c r="V10" s="8" t="s">
        <v>263</v>
      </c>
      <c r="W10" s="93">
        <v>50</v>
      </c>
      <c r="Y10" s="92" t="e">
        <f ca="1"/>
        <v>#NAME?</v>
      </c>
      <c r="Z10" s="8" t="e">
        <f ca="1"/>
        <v>#NAME?</v>
      </c>
      <c r="AA10" s="8" t="e">
        <f ca="1"/>
        <v>#NAME?</v>
      </c>
      <c r="AB10" s="93" t="e">
        <f ca="1"/>
        <v>#NAME?</v>
      </c>
      <c r="AD10" s="92" t="e">
        <f ca="1"/>
        <v>#NAME?</v>
      </c>
      <c r="AE10" s="8" t="e">
        <f ca="1"/>
        <v>#NAME?</v>
      </c>
      <c r="AF10" s="8" t="e">
        <f ca="1"/>
        <v>#NAME?</v>
      </c>
      <c r="AG10" s="93" t="e">
        <f ca="1"/>
        <v>#NAME?</v>
      </c>
    </row>
    <row r="11" spans="1:33" x14ac:dyDescent="0.25">
      <c r="A11" s="92" t="s">
        <v>142</v>
      </c>
      <c r="B11" s="8" t="s">
        <v>261</v>
      </c>
      <c r="C11" s="8" t="s">
        <v>143</v>
      </c>
      <c r="D11" s="93">
        <v>35</v>
      </c>
      <c r="F11" s="92" t="e">
        <f ca="1"/>
        <v>#NAME?</v>
      </c>
      <c r="G11" s="8" t="e">
        <f ca="1"/>
        <v>#NAME?</v>
      </c>
      <c r="H11" s="93" t="e">
        <f ca="1"/>
        <v>#NAME?</v>
      </c>
      <c r="J11" s="92" t="e">
        <f ca="1"/>
        <v>#NAME?</v>
      </c>
      <c r="K11" s="8" t="e">
        <f ca="1"/>
        <v>#NAME?</v>
      </c>
      <c r="L11" s="8" t="e">
        <f ca="1"/>
        <v>#NAME?</v>
      </c>
      <c r="M11" s="93" t="e">
        <f ca="1"/>
        <v>#NAME?</v>
      </c>
      <c r="O11" s="92" t="e">
        <f ca="1"/>
        <v>#NAME?</v>
      </c>
      <c r="P11" s="8" t="e">
        <f ca="1"/>
        <v>#NAME?</v>
      </c>
      <c r="Q11" s="8" t="e">
        <f ca="1"/>
        <v>#NAME?</v>
      </c>
      <c r="R11" s="93" t="e">
        <f ca="1"/>
        <v>#NAME?</v>
      </c>
      <c r="T11" s="92" t="s">
        <v>142</v>
      </c>
      <c r="U11" s="8" t="s">
        <v>261</v>
      </c>
      <c r="V11" s="8" t="s">
        <v>143</v>
      </c>
      <c r="W11" s="93">
        <v>35</v>
      </c>
      <c r="Y11" s="92" t="e">
        <f ca="1"/>
        <v>#NAME?</v>
      </c>
      <c r="Z11" s="8" t="e">
        <f ca="1"/>
        <v>#NAME?</v>
      </c>
      <c r="AA11" s="8" t="e">
        <f ca="1"/>
        <v>#NAME?</v>
      </c>
      <c r="AB11" s="93" t="e">
        <f ca="1"/>
        <v>#NAME?</v>
      </c>
      <c r="AD11" s="92" t="e">
        <f ca="1"/>
        <v>#NAME?</v>
      </c>
      <c r="AE11" s="8" t="e">
        <f ca="1"/>
        <v>#NAME?</v>
      </c>
      <c r="AF11" s="8" t="e">
        <f ca="1"/>
        <v>#NAME?</v>
      </c>
      <c r="AG11" s="93" t="e">
        <f ca="1"/>
        <v>#NAME?</v>
      </c>
    </row>
    <row r="12" spans="1:33" x14ac:dyDescent="0.25">
      <c r="A12" s="92" t="s">
        <v>145</v>
      </c>
      <c r="B12" s="8" t="s">
        <v>260</v>
      </c>
      <c r="C12" s="8" t="s">
        <v>143</v>
      </c>
      <c r="D12" s="93">
        <v>45</v>
      </c>
      <c r="F12" s="92" t="e">
        <f ca="1"/>
        <v>#NAME?</v>
      </c>
      <c r="G12" s="8" t="e">
        <f ca="1"/>
        <v>#NAME?</v>
      </c>
      <c r="H12" s="93" t="e">
        <f ca="1"/>
        <v>#NAME?</v>
      </c>
      <c r="J12" s="80" t="e">
        <f ca="1"/>
        <v>#NAME?</v>
      </c>
      <c r="K12" s="162" t="e">
        <f ca="1"/>
        <v>#NAME?</v>
      </c>
      <c r="L12" s="162" t="e">
        <f ca="1"/>
        <v>#NAME?</v>
      </c>
      <c r="M12" s="83" t="e">
        <f ca="1"/>
        <v>#NAME?</v>
      </c>
      <c r="O12" s="92" t="e">
        <f ca="1"/>
        <v>#NAME?</v>
      </c>
      <c r="P12" s="8" t="e">
        <f ca="1"/>
        <v>#NAME?</v>
      </c>
      <c r="Q12" s="8" t="e">
        <f ca="1"/>
        <v>#NAME?</v>
      </c>
      <c r="R12" s="93" t="e">
        <f ca="1"/>
        <v>#NAME?</v>
      </c>
      <c r="T12" s="92" t="s">
        <v>145</v>
      </c>
      <c r="U12" s="8" t="s">
        <v>260</v>
      </c>
      <c r="V12" s="8" t="s">
        <v>143</v>
      </c>
      <c r="W12" s="93">
        <v>45</v>
      </c>
      <c r="Y12" s="92" t="e">
        <f ca="1"/>
        <v>#NAME?</v>
      </c>
      <c r="Z12" s="8" t="e">
        <f ca="1"/>
        <v>#NAME?</v>
      </c>
      <c r="AA12" s="8" t="e">
        <f ca="1"/>
        <v>#NAME?</v>
      </c>
      <c r="AB12" s="93" t="e">
        <f ca="1"/>
        <v>#NAME?</v>
      </c>
      <c r="AD12" s="92" t="e">
        <f ca="1"/>
        <v>#NAME?</v>
      </c>
      <c r="AE12" s="8" t="e">
        <f ca="1"/>
        <v>#NAME?</v>
      </c>
      <c r="AF12" s="8" t="e">
        <f ca="1"/>
        <v>#NAME?</v>
      </c>
      <c r="AG12" s="93" t="e">
        <f ca="1"/>
        <v>#NAME?</v>
      </c>
    </row>
    <row r="13" spans="1:33" x14ac:dyDescent="0.25">
      <c r="A13" s="92" t="s">
        <v>142</v>
      </c>
      <c r="B13" s="8" t="s">
        <v>262</v>
      </c>
      <c r="C13" s="8" t="s">
        <v>143</v>
      </c>
      <c r="D13" s="93">
        <v>20</v>
      </c>
      <c r="F13" s="80" t="e">
        <f ca="1"/>
        <v>#NAME?</v>
      </c>
      <c r="G13" s="162" t="e">
        <f ca="1"/>
        <v>#NAME?</v>
      </c>
      <c r="H13" s="83" t="e">
        <f ca="1"/>
        <v>#NAME?</v>
      </c>
      <c r="J13" s="8"/>
      <c r="K13" s="8"/>
      <c r="L13" s="8"/>
      <c r="O13" s="80" t="e">
        <f ca="1"/>
        <v>#NAME?</v>
      </c>
      <c r="P13" s="162" t="e">
        <f ca="1"/>
        <v>#NAME?</v>
      </c>
      <c r="Q13" s="162" t="e">
        <f ca="1"/>
        <v>#NAME?</v>
      </c>
      <c r="R13" s="83" t="e">
        <f ca="1"/>
        <v>#NAME?</v>
      </c>
      <c r="T13" s="92" t="s">
        <v>142</v>
      </c>
      <c r="U13" s="8" t="s">
        <v>262</v>
      </c>
      <c r="V13" s="8" t="s">
        <v>143</v>
      </c>
      <c r="W13" s="93">
        <v>20</v>
      </c>
      <c r="Y13" s="92" t="e">
        <f ca="1"/>
        <v>#NAME?</v>
      </c>
      <c r="Z13" s="8" t="e">
        <f ca="1"/>
        <v>#NAME?</v>
      </c>
      <c r="AA13" s="8" t="e">
        <f ca="1"/>
        <v>#NAME?</v>
      </c>
      <c r="AB13" s="93" t="e">
        <f ca="1"/>
        <v>#NAME?</v>
      </c>
      <c r="AD13" s="92" t="e">
        <f ca="1"/>
        <v>#NAME?</v>
      </c>
      <c r="AE13" s="8" t="e">
        <f ca="1"/>
        <v>#NAME?</v>
      </c>
      <c r="AF13" s="8" t="e">
        <f ca="1"/>
        <v>#NAME?</v>
      </c>
      <c r="AG13" s="93" t="e">
        <f ca="1"/>
        <v>#NAME?</v>
      </c>
    </row>
    <row r="14" spans="1:33" x14ac:dyDescent="0.25">
      <c r="A14" s="80" t="s">
        <v>142</v>
      </c>
      <c r="B14" s="162" t="s">
        <v>261</v>
      </c>
      <c r="C14" s="162" t="s">
        <v>263</v>
      </c>
      <c r="D14" s="83">
        <v>40</v>
      </c>
      <c r="T14" s="80" t="s">
        <v>142</v>
      </c>
      <c r="U14" s="162" t="s">
        <v>261</v>
      </c>
      <c r="V14" s="162" t="s">
        <v>263</v>
      </c>
      <c r="W14" s="83">
        <v>40</v>
      </c>
      <c r="Y14" s="80" t="e">
        <f ca="1"/>
        <v>#NAME?</v>
      </c>
      <c r="Z14" s="162" t="e">
        <f ca="1"/>
        <v>#NAME?</v>
      </c>
      <c r="AA14" s="162" t="e">
        <f ca="1"/>
        <v>#NAME?</v>
      </c>
      <c r="AB14" s="83" t="e">
        <f ca="1"/>
        <v>#NAME?</v>
      </c>
      <c r="AD14" s="80" t="e">
        <f ca="1"/>
        <v>#NAME?</v>
      </c>
      <c r="AE14" s="162" t="e">
        <f ca="1"/>
        <v>#NAME?</v>
      </c>
      <c r="AF14" s="162" t="e">
        <f ca="1"/>
        <v>#NAME?</v>
      </c>
      <c r="AG14" s="83" t="e">
        <f ca="1"/>
        <v>#NAME?</v>
      </c>
    </row>
    <row r="15" spans="1:33" x14ac:dyDescent="0.25">
      <c r="F15" s="22" t="s">
        <v>283</v>
      </c>
    </row>
    <row r="17" spans="6:7" x14ac:dyDescent="0.25">
      <c r="F17" s="154" t="e">
        <f t="array" aca="1" ref="F17:G22" ca="1">SortRowsUnique(A3:B14)</f>
        <v>#NAME?</v>
      </c>
      <c r="G17" s="156" t="e">
        <f ca="1"/>
        <v>#NAME?</v>
      </c>
    </row>
    <row r="18" spans="6:7" x14ac:dyDescent="0.25">
      <c r="F18" s="92" t="e">
        <f ca="1"/>
        <v>#NAME?</v>
      </c>
      <c r="G18" s="93" t="e">
        <f ca="1"/>
        <v>#NAME?</v>
      </c>
    </row>
    <row r="19" spans="6:7" x14ac:dyDescent="0.25">
      <c r="F19" s="92" t="e">
        <f ca="1"/>
        <v>#NAME?</v>
      </c>
      <c r="G19" s="93" t="e">
        <f ca="1"/>
        <v>#NAME?</v>
      </c>
    </row>
    <row r="20" spans="6:7" x14ac:dyDescent="0.25">
      <c r="F20" s="92" t="e">
        <f ca="1"/>
        <v>#NAME?</v>
      </c>
      <c r="G20" s="93" t="e">
        <f ca="1"/>
        <v>#NAME?</v>
      </c>
    </row>
    <row r="21" spans="6:7" x14ac:dyDescent="0.25">
      <c r="F21" s="92" t="e">
        <f ca="1"/>
        <v>#NAME?</v>
      </c>
      <c r="G21" s="93" t="e">
        <f ca="1"/>
        <v>#NAME?</v>
      </c>
    </row>
    <row r="22" spans="6:7" x14ac:dyDescent="0.25">
      <c r="F22" s="80" t="e">
        <f ca="1"/>
        <v>#NAME?</v>
      </c>
      <c r="G22" s="83" t="e">
        <f ca="1"/>
        <v>#NAME?</v>
      </c>
    </row>
    <row r="24" spans="6:7" x14ac:dyDescent="0.25">
      <c r="F24" s="22" t="s">
        <v>284</v>
      </c>
    </row>
    <row r="26" spans="6:7" x14ac:dyDescent="0.25">
      <c r="F26" s="105" t="e">
        <f ca="1">CountRowsUnique(A3:B14)</f>
        <v>#NAME?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Q22"/>
  <sheetViews>
    <sheetView workbookViewId="0"/>
  </sheetViews>
  <sheetFormatPr defaultRowHeight="15" x14ac:dyDescent="0.25"/>
  <cols>
    <col min="1" max="1" width="11" customWidth="1"/>
    <col min="2" max="2" width="8.140625" customWidth="1"/>
    <col min="3" max="3" width="11.28515625" customWidth="1"/>
    <col min="4" max="4" width="7.42578125" customWidth="1"/>
    <col min="5" max="5" width="7.7109375" customWidth="1"/>
    <col min="6" max="6" width="8.42578125" customWidth="1"/>
    <col min="7" max="7" width="11.28515625" customWidth="1"/>
    <col min="8" max="8" width="9.7109375" customWidth="1"/>
    <col min="9" max="9" width="10.140625" customWidth="1"/>
    <col min="10" max="10" width="8.7109375" customWidth="1"/>
    <col min="11" max="11" width="5.85546875" customWidth="1"/>
  </cols>
  <sheetData>
    <row r="1" spans="1:17" x14ac:dyDescent="0.25">
      <c r="A1" s="1" t="s">
        <v>249</v>
      </c>
    </row>
    <row r="3" spans="1:17" s="24" customFormat="1" x14ac:dyDescent="0.25">
      <c r="A3" s="127" t="s">
        <v>176</v>
      </c>
      <c r="B3" s="128" t="s">
        <v>150</v>
      </c>
      <c r="C3" s="128" t="s">
        <v>151</v>
      </c>
      <c r="D3" s="128" t="s">
        <v>152</v>
      </c>
      <c r="E3" s="128" t="s">
        <v>153</v>
      </c>
      <c r="F3" s="128" t="s">
        <v>154</v>
      </c>
      <c r="G3" s="128" t="s">
        <v>155</v>
      </c>
      <c r="H3" s="128" t="s">
        <v>156</v>
      </c>
      <c r="I3" s="128" t="s">
        <v>430</v>
      </c>
      <c r="J3" s="128" t="s">
        <v>23</v>
      </c>
      <c r="L3" s="24" t="str">
        <f>A3</f>
        <v>State</v>
      </c>
      <c r="M3" s="24" t="str">
        <f>B3</f>
        <v>Poverty</v>
      </c>
      <c r="N3" s="24" t="str">
        <f>C3</f>
        <v>Infant Mort</v>
      </c>
      <c r="O3" s="24" t="str">
        <f>F3</f>
        <v>Doctors</v>
      </c>
      <c r="P3" s="24" t="str">
        <f>G3</f>
        <v>Traf Deaths</v>
      </c>
      <c r="Q3" s="24" t="str">
        <f>J3</f>
        <v>Income</v>
      </c>
    </row>
    <row r="4" spans="1:17" s="24" customFormat="1" x14ac:dyDescent="0.25">
      <c r="A4" s="123" t="s">
        <v>157</v>
      </c>
      <c r="B4" s="129">
        <v>15.7</v>
      </c>
      <c r="C4" s="130">
        <v>9</v>
      </c>
      <c r="D4" s="131">
        <v>71.027177760140717</v>
      </c>
      <c r="E4" s="132">
        <v>448</v>
      </c>
      <c r="F4" s="133">
        <v>218.17340830567619</v>
      </c>
      <c r="G4" s="134">
        <v>1.81</v>
      </c>
      <c r="H4" s="135">
        <v>22</v>
      </c>
      <c r="I4" s="136">
        <v>5</v>
      </c>
      <c r="J4" s="137">
        <v>42666</v>
      </c>
      <c r="L4" s="24" t="str">
        <f t="shared" ref="L4:L22" si="0">A4</f>
        <v>Alabama</v>
      </c>
      <c r="M4" s="24">
        <f t="shared" ref="M4:M22" si="1">B4</f>
        <v>15.7</v>
      </c>
      <c r="N4" s="24">
        <f t="shared" ref="N4:N22" si="2">C4</f>
        <v>9</v>
      </c>
      <c r="O4" s="24">
        <f t="shared" ref="O4:O22" si="3">F4</f>
        <v>218.17340830567619</v>
      </c>
      <c r="P4" s="24">
        <f t="shared" ref="P4:P22" si="4">G4</f>
        <v>1.81</v>
      </c>
      <c r="Q4" s="24">
        <f t="shared" ref="Q4:Q22" si="5">J4</f>
        <v>42666</v>
      </c>
    </row>
    <row r="5" spans="1:17" s="24" customFormat="1" x14ac:dyDescent="0.25">
      <c r="A5" s="123" t="s">
        <v>158</v>
      </c>
      <c r="B5" s="129">
        <v>8.4</v>
      </c>
      <c r="C5" s="130">
        <v>6.9</v>
      </c>
      <c r="D5" s="131">
        <v>70.62318863808899</v>
      </c>
      <c r="E5" s="132">
        <v>661.2</v>
      </c>
      <c r="F5" s="133">
        <v>228.45028196578826</v>
      </c>
      <c r="G5" s="134">
        <v>1.63</v>
      </c>
      <c r="H5" s="135">
        <v>27.3</v>
      </c>
      <c r="I5" s="136">
        <v>6.7</v>
      </c>
      <c r="J5" s="137">
        <v>68460</v>
      </c>
      <c r="L5" s="24" t="str">
        <f t="shared" si="0"/>
        <v>Alaska</v>
      </c>
      <c r="M5" s="24">
        <f t="shared" si="1"/>
        <v>8.4</v>
      </c>
      <c r="N5" s="24">
        <f t="shared" si="2"/>
        <v>6.9</v>
      </c>
      <c r="O5" s="24">
        <f t="shared" si="3"/>
        <v>228.45028196578826</v>
      </c>
      <c r="P5" s="24">
        <f t="shared" si="4"/>
        <v>1.63</v>
      </c>
      <c r="Q5" s="24">
        <f t="shared" si="5"/>
        <v>68460</v>
      </c>
    </row>
    <row r="6" spans="1:17" s="24" customFormat="1" x14ac:dyDescent="0.25">
      <c r="A6" s="123" t="s">
        <v>159</v>
      </c>
      <c r="B6" s="129">
        <v>14.7</v>
      </c>
      <c r="C6" s="130">
        <v>6.4</v>
      </c>
      <c r="D6" s="131">
        <v>86.505696765320337</v>
      </c>
      <c r="E6" s="132">
        <v>482.7</v>
      </c>
      <c r="F6" s="133">
        <v>209.66657175716827</v>
      </c>
      <c r="G6" s="134">
        <v>1.69</v>
      </c>
      <c r="H6" s="135">
        <v>25.1</v>
      </c>
      <c r="I6" s="136">
        <v>5.5</v>
      </c>
      <c r="J6" s="137">
        <v>50958</v>
      </c>
      <c r="L6" s="24" t="str">
        <f t="shared" si="0"/>
        <v>Arizona</v>
      </c>
      <c r="M6" s="24">
        <f t="shared" si="1"/>
        <v>14.7</v>
      </c>
      <c r="N6" s="24">
        <f t="shared" si="2"/>
        <v>6.4</v>
      </c>
      <c r="O6" s="24">
        <f t="shared" si="3"/>
        <v>209.66657175716827</v>
      </c>
      <c r="P6" s="24">
        <f t="shared" si="4"/>
        <v>1.69</v>
      </c>
      <c r="Q6" s="24">
        <f t="shared" si="5"/>
        <v>50958</v>
      </c>
    </row>
    <row r="7" spans="1:17" s="24" customFormat="1" x14ac:dyDescent="0.25">
      <c r="A7" s="123" t="s">
        <v>160</v>
      </c>
      <c r="B7" s="129">
        <v>17.3</v>
      </c>
      <c r="C7" s="130">
        <v>8.5</v>
      </c>
      <c r="D7" s="131">
        <v>80.783955956979611</v>
      </c>
      <c r="E7" s="132">
        <v>529.4</v>
      </c>
      <c r="F7" s="133">
        <v>203.42285988234826</v>
      </c>
      <c r="G7" s="134">
        <v>1.96</v>
      </c>
      <c r="H7" s="135">
        <v>18.8</v>
      </c>
      <c r="I7" s="136">
        <v>5.0999999999999996</v>
      </c>
      <c r="J7" s="137">
        <v>38815</v>
      </c>
      <c r="L7" s="24" t="str">
        <f t="shared" si="0"/>
        <v>Arkansas</v>
      </c>
      <c r="M7" s="24">
        <f t="shared" si="1"/>
        <v>17.3</v>
      </c>
      <c r="N7" s="24">
        <f t="shared" si="2"/>
        <v>8.5</v>
      </c>
      <c r="O7" s="24">
        <f t="shared" si="3"/>
        <v>203.42285988234826</v>
      </c>
      <c r="P7" s="24">
        <f t="shared" si="4"/>
        <v>1.96</v>
      </c>
      <c r="Q7" s="24">
        <f t="shared" si="5"/>
        <v>38815</v>
      </c>
    </row>
    <row r="8" spans="1:17" s="24" customFormat="1" x14ac:dyDescent="0.25">
      <c r="A8" s="123" t="s">
        <v>161</v>
      </c>
      <c r="B8" s="129">
        <v>13.3</v>
      </c>
      <c r="C8" s="130">
        <v>5</v>
      </c>
      <c r="D8" s="131">
        <v>76.640052174481781</v>
      </c>
      <c r="E8" s="132">
        <v>522.6</v>
      </c>
      <c r="F8" s="133">
        <v>268.69056049813605</v>
      </c>
      <c r="G8" s="134">
        <v>1.21</v>
      </c>
      <c r="H8" s="135">
        <v>29.6</v>
      </c>
      <c r="I8" s="136">
        <v>7.2</v>
      </c>
      <c r="J8" s="137">
        <v>61021</v>
      </c>
      <c r="L8" s="24" t="str">
        <f t="shared" si="0"/>
        <v>California</v>
      </c>
      <c r="M8" s="24">
        <f t="shared" si="1"/>
        <v>13.3</v>
      </c>
      <c r="N8" s="24">
        <f t="shared" si="2"/>
        <v>5</v>
      </c>
      <c r="O8" s="24">
        <f t="shared" si="3"/>
        <v>268.69056049813605</v>
      </c>
      <c r="P8" s="24">
        <f t="shared" si="4"/>
        <v>1.21</v>
      </c>
      <c r="Q8" s="24">
        <f t="shared" si="5"/>
        <v>61021</v>
      </c>
    </row>
    <row r="9" spans="1:17" s="24" customFormat="1" x14ac:dyDescent="0.25">
      <c r="A9" s="123" t="s">
        <v>162</v>
      </c>
      <c r="B9" s="129">
        <v>11.4</v>
      </c>
      <c r="C9" s="130">
        <v>5.7</v>
      </c>
      <c r="D9" s="131">
        <v>89.734092175332663</v>
      </c>
      <c r="E9" s="132">
        <v>347.8</v>
      </c>
      <c r="F9" s="133">
        <v>259.68608874672964</v>
      </c>
      <c r="G9" s="134">
        <v>1.1399999999999999</v>
      </c>
      <c r="H9" s="135">
        <v>35.6</v>
      </c>
      <c r="I9" s="136">
        <v>4.9000000000000004</v>
      </c>
      <c r="J9" s="137">
        <v>56993</v>
      </c>
      <c r="L9" s="24" t="str">
        <f t="shared" si="0"/>
        <v>Colorado</v>
      </c>
      <c r="M9" s="24">
        <f t="shared" si="1"/>
        <v>11.4</v>
      </c>
      <c r="N9" s="24">
        <f t="shared" si="2"/>
        <v>5.7</v>
      </c>
      <c r="O9" s="24">
        <f t="shared" si="3"/>
        <v>259.68608874672964</v>
      </c>
      <c r="P9" s="24">
        <f t="shared" si="4"/>
        <v>1.1399999999999999</v>
      </c>
      <c r="Q9" s="24">
        <f t="shared" si="5"/>
        <v>56993</v>
      </c>
    </row>
    <row r="10" spans="1:17" s="24" customFormat="1" x14ac:dyDescent="0.25">
      <c r="A10" s="123" t="s">
        <v>163</v>
      </c>
      <c r="B10" s="129">
        <v>9.3000000000000007</v>
      </c>
      <c r="C10" s="130">
        <v>6.2</v>
      </c>
      <c r="D10" s="131">
        <v>84.278652322083644</v>
      </c>
      <c r="E10" s="132">
        <v>256</v>
      </c>
      <c r="F10" s="133">
        <v>376.3752669155395</v>
      </c>
      <c r="G10" s="134">
        <v>0.86</v>
      </c>
      <c r="H10" s="135">
        <v>35.6</v>
      </c>
      <c r="I10" s="136">
        <v>5.7</v>
      </c>
      <c r="J10" s="137">
        <v>68595</v>
      </c>
      <c r="L10" s="24" t="str">
        <f t="shared" si="0"/>
        <v>Connecticut</v>
      </c>
      <c r="M10" s="24">
        <f t="shared" si="1"/>
        <v>9.3000000000000007</v>
      </c>
      <c r="N10" s="24">
        <f t="shared" si="2"/>
        <v>6.2</v>
      </c>
      <c r="O10" s="24">
        <f t="shared" si="3"/>
        <v>376.3752669155395</v>
      </c>
      <c r="P10" s="24">
        <f t="shared" si="4"/>
        <v>0.86</v>
      </c>
      <c r="Q10" s="24">
        <f t="shared" si="5"/>
        <v>68595</v>
      </c>
    </row>
    <row r="11" spans="1:17" s="24" customFormat="1" x14ac:dyDescent="0.25">
      <c r="A11" s="123" t="s">
        <v>164</v>
      </c>
      <c r="B11" s="138">
        <v>10</v>
      </c>
      <c r="C11" s="130">
        <v>8.3000000000000007</v>
      </c>
      <c r="D11" s="131">
        <v>74.266056727126113</v>
      </c>
      <c r="E11" s="132">
        <v>689.2</v>
      </c>
      <c r="F11" s="133">
        <v>250.94175668510928</v>
      </c>
      <c r="G11" s="134">
        <v>1.23</v>
      </c>
      <c r="H11" s="135">
        <v>27.5</v>
      </c>
      <c r="I11" s="136">
        <v>4.8</v>
      </c>
      <c r="J11" s="137">
        <v>57989</v>
      </c>
      <c r="L11" s="24" t="str">
        <f t="shared" si="0"/>
        <v>Delaware</v>
      </c>
      <c r="M11" s="24">
        <f t="shared" si="1"/>
        <v>10</v>
      </c>
      <c r="N11" s="24">
        <f t="shared" si="2"/>
        <v>8.3000000000000007</v>
      </c>
      <c r="O11" s="24">
        <f t="shared" si="3"/>
        <v>250.94175668510928</v>
      </c>
      <c r="P11" s="24">
        <f t="shared" si="4"/>
        <v>1.23</v>
      </c>
      <c r="Q11" s="24">
        <f t="shared" si="5"/>
        <v>57989</v>
      </c>
    </row>
    <row r="12" spans="1:17" s="24" customFormat="1" x14ac:dyDescent="0.25">
      <c r="A12" s="123" t="s">
        <v>165</v>
      </c>
      <c r="B12" s="129">
        <v>13.2</v>
      </c>
      <c r="C12" s="130">
        <v>7.3</v>
      </c>
      <c r="D12" s="131">
        <v>79.811068541941054</v>
      </c>
      <c r="E12" s="132">
        <v>722.6</v>
      </c>
      <c r="F12" s="133">
        <v>247.86359820579941</v>
      </c>
      <c r="G12" s="134">
        <v>1.56</v>
      </c>
      <c r="H12" s="135">
        <v>25.8</v>
      </c>
      <c r="I12" s="136">
        <v>6.2</v>
      </c>
      <c r="J12" s="137">
        <v>47778</v>
      </c>
      <c r="L12" s="24" t="str">
        <f t="shared" si="0"/>
        <v>Florida</v>
      </c>
      <c r="M12" s="24">
        <f t="shared" si="1"/>
        <v>13.2</v>
      </c>
      <c r="N12" s="24">
        <f t="shared" si="2"/>
        <v>7.3</v>
      </c>
      <c r="O12" s="24">
        <f t="shared" si="3"/>
        <v>247.86359820579941</v>
      </c>
      <c r="P12" s="24">
        <f t="shared" si="4"/>
        <v>1.56</v>
      </c>
      <c r="Q12" s="24">
        <f t="shared" si="5"/>
        <v>47778</v>
      </c>
    </row>
    <row r="13" spans="1:17" s="24" customFormat="1" x14ac:dyDescent="0.25">
      <c r="A13" s="123" t="s">
        <v>166</v>
      </c>
      <c r="B13" s="129">
        <v>14.7</v>
      </c>
      <c r="C13" s="130">
        <v>8.1</v>
      </c>
      <c r="D13" s="131">
        <v>65.387718279566343</v>
      </c>
      <c r="E13" s="132">
        <v>493.2</v>
      </c>
      <c r="F13" s="133">
        <v>217.44570184044454</v>
      </c>
      <c r="G13" s="134">
        <v>1.46</v>
      </c>
      <c r="H13" s="135">
        <v>27.5</v>
      </c>
      <c r="I13" s="136">
        <v>6.2</v>
      </c>
      <c r="J13" s="137">
        <v>50861</v>
      </c>
      <c r="L13" s="24" t="str">
        <f t="shared" si="0"/>
        <v>Georgia</v>
      </c>
      <c r="M13" s="24">
        <f t="shared" si="1"/>
        <v>14.7</v>
      </c>
      <c r="N13" s="24">
        <f t="shared" si="2"/>
        <v>8.1</v>
      </c>
      <c r="O13" s="24">
        <f t="shared" si="3"/>
        <v>217.44570184044454</v>
      </c>
      <c r="P13" s="24">
        <f t="shared" si="4"/>
        <v>1.46</v>
      </c>
      <c r="Q13" s="24">
        <f t="shared" si="5"/>
        <v>50861</v>
      </c>
    </row>
    <row r="14" spans="1:17" s="24" customFormat="1" x14ac:dyDescent="0.25">
      <c r="A14" s="123" t="s">
        <v>167</v>
      </c>
      <c r="B14" s="129">
        <v>9.1</v>
      </c>
      <c r="C14" s="130">
        <v>5.6</v>
      </c>
      <c r="D14" s="131">
        <v>29.667333748383395</v>
      </c>
      <c r="E14" s="132">
        <v>272.8</v>
      </c>
      <c r="F14" s="133">
        <v>316.98289278791503</v>
      </c>
      <c r="G14" s="134">
        <v>1.33</v>
      </c>
      <c r="H14" s="135">
        <v>29.1</v>
      </c>
      <c r="I14" s="136">
        <v>3.9</v>
      </c>
      <c r="J14" s="137">
        <v>67214</v>
      </c>
      <c r="L14" s="24" t="str">
        <f t="shared" si="0"/>
        <v>Hawaii</v>
      </c>
      <c r="M14" s="24">
        <f t="shared" si="1"/>
        <v>9.1</v>
      </c>
      <c r="N14" s="24">
        <f t="shared" si="2"/>
        <v>5.6</v>
      </c>
      <c r="O14" s="24">
        <f t="shared" si="3"/>
        <v>316.98289278791503</v>
      </c>
      <c r="P14" s="24">
        <f t="shared" si="4"/>
        <v>1.33</v>
      </c>
      <c r="Q14" s="24">
        <f t="shared" si="5"/>
        <v>67214</v>
      </c>
    </row>
    <row r="15" spans="1:17" s="24" customFormat="1" x14ac:dyDescent="0.25">
      <c r="A15" s="123" t="s">
        <v>168</v>
      </c>
      <c r="B15" s="129">
        <v>12.6</v>
      </c>
      <c r="C15" s="130">
        <v>6.8</v>
      </c>
      <c r="D15" s="131">
        <v>94.600660447193093</v>
      </c>
      <c r="E15" s="132">
        <v>239.4</v>
      </c>
      <c r="F15" s="133">
        <v>168.83390313104681</v>
      </c>
      <c r="G15" s="134">
        <v>1.6</v>
      </c>
      <c r="H15" s="135">
        <v>24</v>
      </c>
      <c r="I15" s="136">
        <v>4.9000000000000004</v>
      </c>
      <c r="J15" s="137">
        <v>47576</v>
      </c>
      <c r="L15" s="24" t="str">
        <f t="shared" si="0"/>
        <v>Idaho</v>
      </c>
      <c r="M15" s="24">
        <f t="shared" si="1"/>
        <v>12.6</v>
      </c>
      <c r="N15" s="24">
        <f t="shared" si="2"/>
        <v>6.8</v>
      </c>
      <c r="O15" s="24">
        <f t="shared" si="3"/>
        <v>168.83390313104681</v>
      </c>
      <c r="P15" s="24">
        <f t="shared" si="4"/>
        <v>1.6</v>
      </c>
      <c r="Q15" s="24">
        <f t="shared" si="5"/>
        <v>47576</v>
      </c>
    </row>
    <row r="16" spans="1:17" s="24" customFormat="1" x14ac:dyDescent="0.25">
      <c r="A16" s="123" t="s">
        <v>169</v>
      </c>
      <c r="B16" s="129">
        <v>12.2</v>
      </c>
      <c r="C16" s="130">
        <v>7.3</v>
      </c>
      <c r="D16" s="131">
        <v>79.13310968601246</v>
      </c>
      <c r="E16" s="132">
        <v>533.20000000000005</v>
      </c>
      <c r="F16" s="133">
        <v>280.15386787687231</v>
      </c>
      <c r="G16" s="134">
        <v>1.1599999999999999</v>
      </c>
      <c r="H16" s="135">
        <v>29.9</v>
      </c>
      <c r="I16" s="136">
        <v>6.5</v>
      </c>
      <c r="J16" s="137">
        <v>56235</v>
      </c>
      <c r="L16" s="24" t="str">
        <f t="shared" si="0"/>
        <v>Illinois</v>
      </c>
      <c r="M16" s="24">
        <f t="shared" si="1"/>
        <v>12.2</v>
      </c>
      <c r="N16" s="24">
        <f t="shared" si="2"/>
        <v>7.3</v>
      </c>
      <c r="O16" s="24">
        <f t="shared" si="3"/>
        <v>280.15386787687231</v>
      </c>
      <c r="P16" s="24">
        <f t="shared" si="4"/>
        <v>1.1599999999999999</v>
      </c>
      <c r="Q16" s="24">
        <f t="shared" si="5"/>
        <v>56235</v>
      </c>
    </row>
    <row r="17" spans="1:17" s="24" customFormat="1" x14ac:dyDescent="0.25">
      <c r="A17" s="123" t="s">
        <v>170</v>
      </c>
      <c r="B17" s="129">
        <v>13.1</v>
      </c>
      <c r="C17" s="130">
        <v>8</v>
      </c>
      <c r="D17" s="131">
        <v>88.000000627274659</v>
      </c>
      <c r="E17" s="132">
        <v>333.6</v>
      </c>
      <c r="F17" s="133">
        <v>216.93969975987483</v>
      </c>
      <c r="G17" s="134">
        <v>1.26</v>
      </c>
      <c r="H17" s="135">
        <v>22.9</v>
      </c>
      <c r="I17" s="136">
        <v>5.9</v>
      </c>
      <c r="J17" s="137">
        <v>47966</v>
      </c>
      <c r="L17" s="24" t="str">
        <f t="shared" si="0"/>
        <v>Indiana</v>
      </c>
      <c r="M17" s="24">
        <f t="shared" si="1"/>
        <v>13.1</v>
      </c>
      <c r="N17" s="24">
        <f t="shared" si="2"/>
        <v>8</v>
      </c>
      <c r="O17" s="24">
        <f t="shared" si="3"/>
        <v>216.93969975987483</v>
      </c>
      <c r="P17" s="24">
        <f t="shared" si="4"/>
        <v>1.26</v>
      </c>
      <c r="Q17" s="24">
        <f t="shared" si="5"/>
        <v>47966</v>
      </c>
    </row>
    <row r="18" spans="1:17" s="24" customFormat="1" x14ac:dyDescent="0.25">
      <c r="A18" s="123" t="s">
        <v>171</v>
      </c>
      <c r="B18" s="129">
        <v>11.5</v>
      </c>
      <c r="C18" s="130">
        <v>5.0999999999999996</v>
      </c>
      <c r="D18" s="131">
        <v>94.170464820794294</v>
      </c>
      <c r="E18" s="132">
        <v>294.7</v>
      </c>
      <c r="F18" s="133">
        <v>189.28322428402873</v>
      </c>
      <c r="G18" s="134">
        <v>1.42</v>
      </c>
      <c r="H18" s="135">
        <v>24.3</v>
      </c>
      <c r="I18" s="136">
        <v>4.0999999999999996</v>
      </c>
      <c r="J18" s="137">
        <v>48980</v>
      </c>
      <c r="L18" s="24" t="str">
        <f t="shared" si="0"/>
        <v>Iowa</v>
      </c>
      <c r="M18" s="24">
        <f t="shared" si="1"/>
        <v>11.5</v>
      </c>
      <c r="N18" s="24">
        <f t="shared" si="2"/>
        <v>5.0999999999999996</v>
      </c>
      <c r="O18" s="24">
        <f t="shared" si="3"/>
        <v>189.28322428402873</v>
      </c>
      <c r="P18" s="24">
        <f t="shared" si="4"/>
        <v>1.42</v>
      </c>
      <c r="Q18" s="24">
        <f t="shared" si="5"/>
        <v>48980</v>
      </c>
    </row>
    <row r="19" spans="1:17" s="24" customFormat="1" x14ac:dyDescent="0.25">
      <c r="A19" s="123" t="s">
        <v>172</v>
      </c>
      <c r="B19" s="129">
        <v>11.3</v>
      </c>
      <c r="C19" s="130">
        <v>7.1</v>
      </c>
      <c r="D19" s="131">
        <v>88.703716524620162</v>
      </c>
      <c r="E19" s="132">
        <v>452.7</v>
      </c>
      <c r="F19" s="133">
        <v>222.54770859752097</v>
      </c>
      <c r="G19" s="134">
        <v>1.38</v>
      </c>
      <c r="H19" s="135">
        <v>29.6</v>
      </c>
      <c r="I19" s="136">
        <v>4.4000000000000004</v>
      </c>
      <c r="J19" s="137">
        <v>50177</v>
      </c>
      <c r="L19" s="24" t="str">
        <f t="shared" si="0"/>
        <v>Kansas</v>
      </c>
      <c r="M19" s="24">
        <f t="shared" si="1"/>
        <v>11.3</v>
      </c>
      <c r="N19" s="24">
        <f t="shared" si="2"/>
        <v>7.1</v>
      </c>
      <c r="O19" s="24">
        <f t="shared" si="3"/>
        <v>222.54770859752097</v>
      </c>
      <c r="P19" s="24">
        <f t="shared" si="4"/>
        <v>1.38</v>
      </c>
      <c r="Q19" s="24">
        <f t="shared" si="5"/>
        <v>50177</v>
      </c>
    </row>
    <row r="20" spans="1:17" s="24" customFormat="1" x14ac:dyDescent="0.25">
      <c r="A20" s="123" t="s">
        <v>173</v>
      </c>
      <c r="B20" s="129">
        <v>17.3</v>
      </c>
      <c r="C20" s="130">
        <v>7.5</v>
      </c>
      <c r="D20" s="131">
        <v>89.904327345935869</v>
      </c>
      <c r="E20" s="132">
        <v>295</v>
      </c>
      <c r="F20" s="133">
        <v>232.34854500664258</v>
      </c>
      <c r="G20" s="134">
        <v>1.8</v>
      </c>
      <c r="H20" s="135">
        <v>19.7</v>
      </c>
      <c r="I20" s="136">
        <v>6.4</v>
      </c>
      <c r="J20" s="137">
        <v>41538</v>
      </c>
      <c r="L20" s="24" t="str">
        <f t="shared" si="0"/>
        <v>Kentucky</v>
      </c>
      <c r="M20" s="24">
        <f t="shared" si="1"/>
        <v>17.3</v>
      </c>
      <c r="N20" s="24">
        <f t="shared" si="2"/>
        <v>7.5</v>
      </c>
      <c r="O20" s="24">
        <f t="shared" si="3"/>
        <v>232.34854500664258</v>
      </c>
      <c r="P20" s="24">
        <f t="shared" si="4"/>
        <v>1.8</v>
      </c>
      <c r="Q20" s="24">
        <f t="shared" si="5"/>
        <v>41538</v>
      </c>
    </row>
    <row r="21" spans="1:17" s="24" customFormat="1" x14ac:dyDescent="0.25">
      <c r="A21" s="53" t="s">
        <v>174</v>
      </c>
      <c r="B21" s="129">
        <v>17.3</v>
      </c>
      <c r="C21" s="130">
        <v>9.9</v>
      </c>
      <c r="D21" s="139">
        <v>64.839543701408999</v>
      </c>
      <c r="E21" s="132">
        <v>729.5</v>
      </c>
      <c r="F21" s="133">
        <v>262.66146237060713</v>
      </c>
      <c r="G21" s="140">
        <v>2.17</v>
      </c>
      <c r="H21" s="135">
        <v>20.3</v>
      </c>
      <c r="I21" s="141">
        <v>4.5999999999999996</v>
      </c>
      <c r="J21" s="142">
        <v>43733</v>
      </c>
      <c r="L21" s="24" t="str">
        <f t="shared" si="0"/>
        <v>Louisiana</v>
      </c>
      <c r="M21" s="24">
        <f t="shared" si="1"/>
        <v>17.3</v>
      </c>
      <c r="N21" s="24">
        <f t="shared" si="2"/>
        <v>9.9</v>
      </c>
      <c r="O21" s="24">
        <f t="shared" si="3"/>
        <v>262.66146237060713</v>
      </c>
      <c r="P21" s="24">
        <f t="shared" si="4"/>
        <v>2.17</v>
      </c>
      <c r="Q21" s="24">
        <f t="shared" si="5"/>
        <v>43733</v>
      </c>
    </row>
    <row r="22" spans="1:17" s="24" customFormat="1" x14ac:dyDescent="0.25">
      <c r="A22" s="143" t="s">
        <v>175</v>
      </c>
      <c r="B22" s="144">
        <v>12.3</v>
      </c>
      <c r="C22" s="145">
        <v>6.3</v>
      </c>
      <c r="D22" s="146">
        <v>96.389852756187835</v>
      </c>
      <c r="E22" s="147">
        <v>118</v>
      </c>
      <c r="F22" s="148">
        <v>278.39482802923527</v>
      </c>
      <c r="G22" s="149">
        <v>1.22</v>
      </c>
      <c r="H22" s="150">
        <v>25.4</v>
      </c>
      <c r="I22" s="151">
        <v>5.4</v>
      </c>
      <c r="J22" s="152">
        <v>46581</v>
      </c>
      <c r="L22" s="24" t="str">
        <f t="shared" si="0"/>
        <v>Maine</v>
      </c>
      <c r="M22" s="24">
        <f t="shared" si="1"/>
        <v>12.3</v>
      </c>
      <c r="N22" s="24">
        <f t="shared" si="2"/>
        <v>6.3</v>
      </c>
      <c r="O22" s="24">
        <f t="shared" si="3"/>
        <v>278.39482802923527</v>
      </c>
      <c r="P22" s="24">
        <f t="shared" si="4"/>
        <v>1.22</v>
      </c>
      <c r="Q22" s="24">
        <f t="shared" si="5"/>
        <v>46581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1"/>
  <dimension ref="A1:M14"/>
  <sheetViews>
    <sheetView workbookViewId="0"/>
  </sheetViews>
  <sheetFormatPr defaultRowHeight="15" x14ac:dyDescent="0.25"/>
  <cols>
    <col min="4" max="4" width="6" customWidth="1"/>
    <col min="13" max="13" width="5" customWidth="1"/>
  </cols>
  <sheetData>
    <row r="1" spans="1:13" x14ac:dyDescent="0.25">
      <c r="A1" s="1" t="s">
        <v>278</v>
      </c>
      <c r="F1" s="22" t="s">
        <v>281</v>
      </c>
      <c r="J1" s="22" t="s">
        <v>282</v>
      </c>
    </row>
    <row r="3" spans="1:13" x14ac:dyDescent="0.25">
      <c r="A3" s="154" t="s">
        <v>145</v>
      </c>
      <c r="B3" s="5" t="s">
        <v>260</v>
      </c>
      <c r="C3" s="5" t="s">
        <v>263</v>
      </c>
      <c r="D3" s="156">
        <v>45</v>
      </c>
      <c r="F3" s="154" t="e">
        <f t="array" aca="1" ref="F3:H14" ca="1">SelectCols(A3:D14,"2,3,1")</f>
        <v>#NAME?</v>
      </c>
      <c r="G3" s="5" t="e">
        <f ca="1"/>
        <v>#NAME?</v>
      </c>
      <c r="H3" s="156" t="e">
        <f ca="1"/>
        <v>#NAME?</v>
      </c>
      <c r="J3" s="154" t="e">
        <f t="array" aca="1" ref="J3:M14" ca="1">SelectCols(A3:D14,"3,2,1,4",1)</f>
        <v>#NAME?</v>
      </c>
      <c r="K3" s="5" t="e">
        <f ca="1"/>
        <v>#NAME?</v>
      </c>
      <c r="L3" s="5" t="e">
        <f ca="1"/>
        <v>#NAME?</v>
      </c>
      <c r="M3" s="156" t="e">
        <f ca="1"/>
        <v>#NAME?</v>
      </c>
    </row>
    <row r="4" spans="1:13" x14ac:dyDescent="0.25">
      <c r="A4" s="92" t="s">
        <v>142</v>
      </c>
      <c r="B4" s="8" t="s">
        <v>261</v>
      </c>
      <c r="C4" s="8" t="s">
        <v>143</v>
      </c>
      <c r="D4" s="93">
        <v>35</v>
      </c>
      <c r="F4" s="92" t="e">
        <f ca="1"/>
        <v>#NAME?</v>
      </c>
      <c r="G4" s="8" t="e">
        <f ca="1"/>
        <v>#NAME?</v>
      </c>
      <c r="H4" s="93" t="e">
        <f ca="1"/>
        <v>#NAME?</v>
      </c>
      <c r="J4" s="92" t="e">
        <f ca="1"/>
        <v>#NAME?</v>
      </c>
      <c r="K4" s="8" t="e">
        <f ca="1"/>
        <v>#NAME?</v>
      </c>
      <c r="L4" s="8" t="e">
        <f ca="1"/>
        <v>#NAME?</v>
      </c>
      <c r="M4" s="93" t="e">
        <f ca="1"/>
        <v>#NAME?</v>
      </c>
    </row>
    <row r="5" spans="1:13" x14ac:dyDescent="0.25">
      <c r="A5" s="92" t="s">
        <v>145</v>
      </c>
      <c r="B5" s="8" t="s">
        <v>262</v>
      </c>
      <c r="C5" s="8" t="s">
        <v>263</v>
      </c>
      <c r="D5" s="93">
        <v>15</v>
      </c>
      <c r="F5" s="92" t="e">
        <f ca="1"/>
        <v>#NAME?</v>
      </c>
      <c r="G5" s="8" t="e">
        <f ca="1"/>
        <v>#NAME?</v>
      </c>
      <c r="H5" s="93" t="e">
        <f ca="1"/>
        <v>#NAME?</v>
      </c>
      <c r="J5" s="92" t="e">
        <f ca="1"/>
        <v>#NAME?</v>
      </c>
      <c r="K5" s="8" t="e">
        <f ca="1"/>
        <v>#NAME?</v>
      </c>
      <c r="L5" s="8" t="e">
        <f ca="1"/>
        <v>#NAME?</v>
      </c>
      <c r="M5" s="93" t="e">
        <f ca="1"/>
        <v>#NAME?</v>
      </c>
    </row>
    <row r="6" spans="1:13" x14ac:dyDescent="0.25">
      <c r="A6" s="92" t="s">
        <v>145</v>
      </c>
      <c r="B6" s="8" t="s">
        <v>262</v>
      </c>
      <c r="C6" s="8" t="s">
        <v>263</v>
      </c>
      <c r="D6" s="93">
        <v>40</v>
      </c>
      <c r="F6" s="92" t="e">
        <f ca="1"/>
        <v>#NAME?</v>
      </c>
      <c r="G6" s="8" t="e">
        <f ca="1"/>
        <v>#NAME?</v>
      </c>
      <c r="H6" s="93" t="e">
        <f ca="1"/>
        <v>#NAME?</v>
      </c>
      <c r="J6" s="92" t="e">
        <f ca="1"/>
        <v>#NAME?</v>
      </c>
      <c r="K6" s="8" t="e">
        <f ca="1"/>
        <v>#NAME?</v>
      </c>
      <c r="L6" s="8" t="e">
        <f ca="1"/>
        <v>#NAME?</v>
      </c>
      <c r="M6" s="93" t="e">
        <f ca="1"/>
        <v>#NAME?</v>
      </c>
    </row>
    <row r="7" spans="1:13" x14ac:dyDescent="0.25">
      <c r="A7" s="92" t="s">
        <v>142</v>
      </c>
      <c r="B7" s="8" t="s">
        <v>261</v>
      </c>
      <c r="C7" s="8" t="s">
        <v>263</v>
      </c>
      <c r="D7" s="93">
        <v>25</v>
      </c>
      <c r="F7" s="92" t="e">
        <f ca="1"/>
        <v>#NAME?</v>
      </c>
      <c r="G7" s="8" t="e">
        <f ca="1"/>
        <v>#NAME?</v>
      </c>
      <c r="H7" s="93" t="e">
        <f ca="1"/>
        <v>#NAME?</v>
      </c>
      <c r="J7" s="92" t="e">
        <f ca="1"/>
        <v>#NAME?</v>
      </c>
      <c r="K7" s="8" t="e">
        <f ca="1"/>
        <v>#NAME?</v>
      </c>
      <c r="L7" s="8" t="e">
        <f ca="1"/>
        <v>#NAME?</v>
      </c>
      <c r="M7" s="93" t="e">
        <f ca="1"/>
        <v>#NAME?</v>
      </c>
    </row>
    <row r="8" spans="1:13" x14ac:dyDescent="0.25">
      <c r="A8" s="92" t="s">
        <v>145</v>
      </c>
      <c r="B8" s="8" t="s">
        <v>262</v>
      </c>
      <c r="C8" s="8" t="s">
        <v>143</v>
      </c>
      <c r="D8" s="93">
        <v>20</v>
      </c>
      <c r="F8" s="92" t="e">
        <f ca="1"/>
        <v>#NAME?</v>
      </c>
      <c r="G8" s="8" t="e">
        <f ca="1"/>
        <v>#NAME?</v>
      </c>
      <c r="H8" s="93" t="e">
        <f ca="1"/>
        <v>#NAME?</v>
      </c>
      <c r="J8" s="92" t="e">
        <f ca="1"/>
        <v>#NAME?</v>
      </c>
      <c r="K8" s="8" t="e">
        <f ca="1"/>
        <v>#NAME?</v>
      </c>
      <c r="L8" s="8" t="e">
        <f ca="1"/>
        <v>#NAME?</v>
      </c>
      <c r="M8" s="93" t="e">
        <f ca="1"/>
        <v>#NAME?</v>
      </c>
    </row>
    <row r="9" spans="1:13" x14ac:dyDescent="0.25">
      <c r="A9" s="92" t="s">
        <v>142</v>
      </c>
      <c r="B9" s="8" t="s">
        <v>260</v>
      </c>
      <c r="C9" s="8" t="s">
        <v>263</v>
      </c>
      <c r="D9" s="93">
        <v>10</v>
      </c>
      <c r="F9" s="92" t="e">
        <f ca="1"/>
        <v>#NAME?</v>
      </c>
      <c r="G9" s="8" t="e">
        <f ca="1"/>
        <v>#NAME?</v>
      </c>
      <c r="H9" s="93" t="e">
        <f ca="1"/>
        <v>#NAME?</v>
      </c>
      <c r="J9" s="92" t="e">
        <f ca="1"/>
        <v>#NAME?</v>
      </c>
      <c r="K9" s="8" t="e">
        <f ca="1"/>
        <v>#NAME?</v>
      </c>
      <c r="L9" s="8" t="e">
        <f ca="1"/>
        <v>#NAME?</v>
      </c>
      <c r="M9" s="93" t="e">
        <f ca="1"/>
        <v>#NAME?</v>
      </c>
    </row>
    <row r="10" spans="1:13" x14ac:dyDescent="0.25">
      <c r="A10" s="92" t="s">
        <v>142</v>
      </c>
      <c r="B10" s="8" t="s">
        <v>261</v>
      </c>
      <c r="C10" s="8" t="s">
        <v>263</v>
      </c>
      <c r="D10" s="93">
        <v>50</v>
      </c>
      <c r="F10" s="92" t="e">
        <f ca="1"/>
        <v>#NAME?</v>
      </c>
      <c r="G10" s="8" t="e">
        <f ca="1"/>
        <v>#NAME?</v>
      </c>
      <c r="H10" s="93" t="e">
        <f ca="1"/>
        <v>#NAME?</v>
      </c>
      <c r="J10" s="92" t="e">
        <f ca="1"/>
        <v>#NAME?</v>
      </c>
      <c r="K10" s="8" t="e">
        <f ca="1"/>
        <v>#NAME?</v>
      </c>
      <c r="L10" s="8" t="e">
        <f ca="1"/>
        <v>#NAME?</v>
      </c>
      <c r="M10" s="93" t="e">
        <f ca="1"/>
        <v>#NAME?</v>
      </c>
    </row>
    <row r="11" spans="1:13" x14ac:dyDescent="0.25">
      <c r="A11" s="92" t="s">
        <v>142</v>
      </c>
      <c r="B11" s="8" t="s">
        <v>261</v>
      </c>
      <c r="C11" s="8" t="s">
        <v>143</v>
      </c>
      <c r="D11" s="93">
        <v>35</v>
      </c>
      <c r="F11" s="92" t="e">
        <f ca="1"/>
        <v>#NAME?</v>
      </c>
      <c r="G11" s="8" t="e">
        <f ca="1"/>
        <v>#NAME?</v>
      </c>
      <c r="H11" s="93" t="e">
        <f ca="1"/>
        <v>#NAME?</v>
      </c>
      <c r="J11" s="92" t="e">
        <f ca="1"/>
        <v>#NAME?</v>
      </c>
      <c r="K11" s="8" t="e">
        <f ca="1"/>
        <v>#NAME?</v>
      </c>
      <c r="L11" s="8" t="e">
        <f ca="1"/>
        <v>#NAME?</v>
      </c>
      <c r="M11" s="93" t="e">
        <f ca="1"/>
        <v>#NAME?</v>
      </c>
    </row>
    <row r="12" spans="1:13" x14ac:dyDescent="0.25">
      <c r="A12" s="92" t="s">
        <v>145</v>
      </c>
      <c r="B12" s="8" t="s">
        <v>260</v>
      </c>
      <c r="C12" s="8" t="s">
        <v>143</v>
      </c>
      <c r="D12" s="93">
        <v>45</v>
      </c>
      <c r="F12" s="92" t="e">
        <f ca="1"/>
        <v>#NAME?</v>
      </c>
      <c r="G12" s="8" t="e">
        <f ca="1"/>
        <v>#NAME?</v>
      </c>
      <c r="H12" s="93" t="e">
        <f ca="1"/>
        <v>#NAME?</v>
      </c>
      <c r="J12" s="92" t="e">
        <f ca="1"/>
        <v>#NAME?</v>
      </c>
      <c r="K12" s="8" t="e">
        <f ca="1"/>
        <v>#NAME?</v>
      </c>
      <c r="L12" s="8" t="e">
        <f ca="1"/>
        <v>#NAME?</v>
      </c>
      <c r="M12" s="93" t="e">
        <f ca="1"/>
        <v>#NAME?</v>
      </c>
    </row>
    <row r="13" spans="1:13" x14ac:dyDescent="0.25">
      <c r="A13" s="92" t="s">
        <v>142</v>
      </c>
      <c r="B13" s="8" t="s">
        <v>262</v>
      </c>
      <c r="C13" s="8" t="s">
        <v>143</v>
      </c>
      <c r="D13" s="93">
        <v>20</v>
      </c>
      <c r="F13" s="92" t="e">
        <f ca="1"/>
        <v>#NAME?</v>
      </c>
      <c r="G13" s="8" t="e">
        <f ca="1"/>
        <v>#NAME?</v>
      </c>
      <c r="H13" s="93" t="e">
        <f ca="1"/>
        <v>#NAME?</v>
      </c>
      <c r="J13" s="92" t="e">
        <f ca="1"/>
        <v>#NAME?</v>
      </c>
      <c r="K13" s="8" t="e">
        <f ca="1"/>
        <v>#NAME?</v>
      </c>
      <c r="L13" s="8" t="e">
        <f ca="1"/>
        <v>#NAME?</v>
      </c>
      <c r="M13" s="93" t="e">
        <f ca="1"/>
        <v>#NAME?</v>
      </c>
    </row>
    <row r="14" spans="1:13" x14ac:dyDescent="0.25">
      <c r="A14" s="80" t="s">
        <v>142</v>
      </c>
      <c r="B14" s="162" t="s">
        <v>261</v>
      </c>
      <c r="C14" s="162" t="s">
        <v>263</v>
      </c>
      <c r="D14" s="83">
        <v>40</v>
      </c>
      <c r="F14" s="80" t="e">
        <f ca="1"/>
        <v>#NAME?</v>
      </c>
      <c r="G14" s="162" t="e">
        <f ca="1"/>
        <v>#NAME?</v>
      </c>
      <c r="H14" s="83" t="e">
        <f ca="1"/>
        <v>#NAME?</v>
      </c>
      <c r="J14" s="80" t="e">
        <f ca="1"/>
        <v>#NAME?</v>
      </c>
      <c r="K14" s="162" t="e">
        <f ca="1"/>
        <v>#NAME?</v>
      </c>
      <c r="L14" s="162" t="e">
        <f ca="1"/>
        <v>#NAME?</v>
      </c>
      <c r="M14" s="83" t="e">
        <f ca="1"/>
        <v>#NAME?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D11"/>
  <sheetViews>
    <sheetView workbookViewId="0"/>
  </sheetViews>
  <sheetFormatPr defaultRowHeight="15" x14ac:dyDescent="0.25"/>
  <cols>
    <col min="1" max="1" width="2.5703125" customWidth="1"/>
    <col min="2" max="2" width="22.140625" customWidth="1"/>
    <col min="3" max="3" width="3.140625" customWidth="1"/>
    <col min="4" max="4" width="16" customWidth="1"/>
  </cols>
  <sheetData>
    <row r="1" spans="1:4" x14ac:dyDescent="0.25">
      <c r="A1" s="1" t="s">
        <v>432</v>
      </c>
    </row>
    <row r="3" spans="1:4" x14ac:dyDescent="0.25">
      <c r="B3" s="258" t="e">
        <f ca="1">VER()</f>
        <v>#NAME?</v>
      </c>
      <c r="D3" t="e">
        <f ca="1">FTEXT(B3)</f>
        <v>#NAME?</v>
      </c>
    </row>
    <row r="4" spans="1:4" x14ac:dyDescent="0.25">
      <c r="B4" s="91" t="e">
        <f ca="1">ExcelVer()</f>
        <v>#NAME?</v>
      </c>
      <c r="D4" t="e">
        <f ca="1">FTEXT(B4)</f>
        <v>#NAME?</v>
      </c>
    </row>
    <row r="5" spans="1:4" x14ac:dyDescent="0.25">
      <c r="B5" s="85" t="e">
        <f ca="1">FTEXT(B4)</f>
        <v>#NAME?</v>
      </c>
      <c r="D5" t="e">
        <f ca="1">FTEXT(B5)</f>
        <v>#NAME?</v>
      </c>
    </row>
    <row r="7" spans="1:4" x14ac:dyDescent="0.25">
      <c r="B7" s="258" t="e">
        <f ca="1">ColLabel(5)</f>
        <v>#NAME?</v>
      </c>
      <c r="D7" t="e">
        <f ca="1">FTEXT(B7)</f>
        <v>#NAME?</v>
      </c>
    </row>
    <row r="8" spans="1:4" x14ac:dyDescent="0.25">
      <c r="B8" s="91" t="e">
        <f ca="1">ColLabel(50)</f>
        <v>#NAME?</v>
      </c>
      <c r="D8" t="e">
        <f ca="1">FTEXT(B8)</f>
        <v>#NAME?</v>
      </c>
    </row>
    <row r="9" spans="1:4" x14ac:dyDescent="0.25">
      <c r="B9" s="85" t="e">
        <f ca="1">ColLabel(15000)</f>
        <v>#NAME?</v>
      </c>
      <c r="D9" t="e">
        <f ca="1">FTEXT(B9)</f>
        <v>#NAME?</v>
      </c>
    </row>
    <row r="11" spans="1:4" x14ac:dyDescent="0.25">
      <c r="B11" s="105">
        <f>COLUMN(AY1)</f>
        <v>51</v>
      </c>
      <c r="D11" t="e">
        <f ca="1">FTEXT(B11)</f>
        <v>#NAME?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1:E9"/>
  <sheetViews>
    <sheetView workbookViewId="0">
      <selection activeCell="E8" sqref="E8"/>
    </sheetView>
  </sheetViews>
  <sheetFormatPr defaultRowHeight="15" x14ac:dyDescent="0.25"/>
  <cols>
    <col min="1" max="1" width="5.5703125" customWidth="1"/>
  </cols>
  <sheetData>
    <row r="1" spans="2:5" x14ac:dyDescent="0.25">
      <c r="B1" s="1" t="s">
        <v>456</v>
      </c>
    </row>
    <row r="3" spans="2:5" x14ac:dyDescent="0.25">
      <c r="B3" s="272" t="s">
        <v>357</v>
      </c>
      <c r="C3" s="272" t="s">
        <v>457</v>
      </c>
      <c r="D3" s="272" t="s">
        <v>458</v>
      </c>
      <c r="E3" s="272" t="s">
        <v>459</v>
      </c>
    </row>
    <row r="4" spans="2:5" x14ac:dyDescent="0.25">
      <c r="B4">
        <v>1</v>
      </c>
      <c r="C4">
        <v>5</v>
      </c>
      <c r="D4">
        <v>8</v>
      </c>
      <c r="E4">
        <v>3</v>
      </c>
    </row>
    <row r="5" spans="2:5" x14ac:dyDescent="0.25">
      <c r="B5">
        <v>2</v>
      </c>
      <c r="C5">
        <v>7</v>
      </c>
      <c r="D5">
        <v>10</v>
      </c>
      <c r="E5">
        <v>5</v>
      </c>
    </row>
    <row r="6" spans="2:5" x14ac:dyDescent="0.25">
      <c r="B6">
        <v>3</v>
      </c>
      <c r="C6">
        <v>4</v>
      </c>
      <c r="D6">
        <v>15</v>
      </c>
      <c r="E6">
        <v>10</v>
      </c>
    </row>
    <row r="7" spans="2:5" x14ac:dyDescent="0.25">
      <c r="B7">
        <v>4</v>
      </c>
      <c r="C7">
        <v>8</v>
      </c>
      <c r="D7">
        <v>17</v>
      </c>
      <c r="E7">
        <v>10</v>
      </c>
    </row>
    <row r="8" spans="2:5" x14ac:dyDescent="0.25">
      <c r="B8">
        <v>5</v>
      </c>
      <c r="C8">
        <v>10</v>
      </c>
      <c r="D8">
        <v>20</v>
      </c>
      <c r="E8">
        <v>15</v>
      </c>
    </row>
    <row r="9" spans="2:5" x14ac:dyDescent="0.25">
      <c r="B9" s="162">
        <v>6</v>
      </c>
      <c r="C9" s="162">
        <v>14</v>
      </c>
      <c r="D9" s="162">
        <v>25</v>
      </c>
      <c r="E9" s="162">
        <v>20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7"/>
  <sheetViews>
    <sheetView workbookViewId="0"/>
  </sheetViews>
  <sheetFormatPr defaultRowHeight="15" x14ac:dyDescent="0.25"/>
  <sheetData>
    <row r="1" spans="1:2" x14ac:dyDescent="0.25">
      <c r="A1" s="1" t="s">
        <v>206</v>
      </c>
    </row>
    <row r="3" spans="1:2" x14ac:dyDescent="0.25">
      <c r="A3" t="s">
        <v>105</v>
      </c>
      <c r="B3" s="104">
        <v>12</v>
      </c>
    </row>
    <row r="4" spans="1:2" x14ac:dyDescent="0.25">
      <c r="A4" t="s">
        <v>140</v>
      </c>
      <c r="B4" s="91">
        <f>1/6</f>
        <v>0.16666666666666666</v>
      </c>
    </row>
    <row r="5" spans="1:2" x14ac:dyDescent="0.25">
      <c r="A5" t="s">
        <v>207</v>
      </c>
      <c r="B5" s="91">
        <f>1-B4</f>
        <v>0.83333333333333337</v>
      </c>
    </row>
    <row r="6" spans="1:2" x14ac:dyDescent="0.25">
      <c r="A6" t="s">
        <v>208</v>
      </c>
      <c r="B6" s="91">
        <f>B5^B3</f>
        <v>0.11215665478461519</v>
      </c>
    </row>
    <row r="7" spans="1:2" x14ac:dyDescent="0.25">
      <c r="A7" t="s">
        <v>209</v>
      </c>
      <c r="B7" s="85">
        <f>1-B6</f>
        <v>0.88784334521538477</v>
      </c>
    </row>
  </sheetData>
  <pageMargins left="0.7" right="0.7" top="0.75" bottom="0.75" header="0.3" footer="0.3"/>
  <ignoredErrors>
    <ignoredError sqref="B6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6"/>
  <sheetViews>
    <sheetView workbookViewId="0">
      <selection activeCell="E8" sqref="E8"/>
    </sheetView>
  </sheetViews>
  <sheetFormatPr defaultRowHeight="15" x14ac:dyDescent="0.25"/>
  <cols>
    <col min="1" max="1" width="5.42578125" customWidth="1"/>
    <col min="2" max="3" width="8.85546875" customWidth="1"/>
    <col min="4" max="4" width="4" customWidth="1"/>
    <col min="5" max="5" width="24.85546875" customWidth="1"/>
  </cols>
  <sheetData>
    <row r="1" spans="1:5" x14ac:dyDescent="0.25">
      <c r="A1" s="1" t="s">
        <v>27</v>
      </c>
    </row>
    <row r="3" spans="1:5" x14ac:dyDescent="0.25">
      <c r="A3" s="204" t="s">
        <v>28</v>
      </c>
      <c r="B3" s="205" t="s">
        <v>29</v>
      </c>
      <c r="C3" s="200" t="s">
        <v>30</v>
      </c>
      <c r="D3" s="41"/>
    </row>
    <row r="4" spans="1:5" x14ac:dyDescent="0.25">
      <c r="A4" s="206">
        <v>1</v>
      </c>
      <c r="B4" s="207">
        <v>0.12</v>
      </c>
      <c r="C4" s="201">
        <f>B4</f>
        <v>0.12</v>
      </c>
      <c r="D4" s="54"/>
      <c r="E4" t="s">
        <v>368</v>
      </c>
    </row>
    <row r="5" spans="1:5" x14ac:dyDescent="0.25">
      <c r="A5" s="208">
        <f>A4+1</f>
        <v>2</v>
      </c>
      <c r="B5" s="209">
        <v>0.25</v>
      </c>
      <c r="C5" s="202">
        <f>B5+C4</f>
        <v>0.37</v>
      </c>
      <c r="D5" s="54"/>
      <c r="E5" t="s">
        <v>369</v>
      </c>
    </row>
    <row r="6" spans="1:5" x14ac:dyDescent="0.25">
      <c r="A6" s="208">
        <f t="shared" ref="A6:A11" si="0">A5+1</f>
        <v>3</v>
      </c>
      <c r="B6" s="209">
        <v>0.08</v>
      </c>
      <c r="C6" s="202">
        <f t="shared" ref="C6:C11" si="1">B6+C5</f>
        <v>0.45</v>
      </c>
      <c r="D6" s="54"/>
      <c r="E6" t="s">
        <v>370</v>
      </c>
    </row>
    <row r="7" spans="1:5" x14ac:dyDescent="0.25">
      <c r="A7" s="208">
        <f t="shared" si="0"/>
        <v>4</v>
      </c>
      <c r="B7" s="209">
        <v>0.14000000000000001</v>
      </c>
      <c r="C7" s="202">
        <f t="shared" si="1"/>
        <v>0.59000000000000008</v>
      </c>
      <c r="D7" s="54"/>
      <c r="E7" t="s">
        <v>371</v>
      </c>
    </row>
    <row r="8" spans="1:5" x14ac:dyDescent="0.25">
      <c r="A8" s="208">
        <f t="shared" si="0"/>
        <v>5</v>
      </c>
      <c r="B8" s="209">
        <v>0.09</v>
      </c>
      <c r="C8" s="202">
        <f t="shared" si="1"/>
        <v>0.68</v>
      </c>
      <c r="D8" s="54"/>
      <c r="E8" t="s">
        <v>372</v>
      </c>
    </row>
    <row r="9" spans="1:5" x14ac:dyDescent="0.25">
      <c r="A9" s="208">
        <f t="shared" si="0"/>
        <v>6</v>
      </c>
      <c r="B9" s="209">
        <v>0.18</v>
      </c>
      <c r="C9" s="202">
        <f t="shared" si="1"/>
        <v>0.8600000000000001</v>
      </c>
      <c r="D9" s="54"/>
      <c r="E9" t="s">
        <v>373</v>
      </c>
    </row>
    <row r="10" spans="1:5" x14ac:dyDescent="0.25">
      <c r="A10" s="208">
        <f t="shared" si="0"/>
        <v>7</v>
      </c>
      <c r="B10" s="209">
        <v>0.09</v>
      </c>
      <c r="C10" s="202">
        <f t="shared" si="1"/>
        <v>0.95000000000000007</v>
      </c>
      <c r="D10" s="54"/>
      <c r="E10" t="s">
        <v>374</v>
      </c>
    </row>
    <row r="11" spans="1:5" x14ac:dyDescent="0.25">
      <c r="A11" s="210">
        <f t="shared" si="0"/>
        <v>8</v>
      </c>
      <c r="B11" s="211">
        <v>0.05</v>
      </c>
      <c r="C11" s="203">
        <f t="shared" si="1"/>
        <v>1</v>
      </c>
      <c r="D11" s="54"/>
      <c r="E11" t="s">
        <v>375</v>
      </c>
    </row>
    <row r="14" spans="1:5" x14ac:dyDescent="0.25">
      <c r="A14" s="212" t="s">
        <v>376</v>
      </c>
      <c r="B14" s="212"/>
      <c r="C14" s="213">
        <f>PROB(A4:A11,B4:B11,3)</f>
        <v>0.08</v>
      </c>
      <c r="E14" s="22" t="s">
        <v>380</v>
      </c>
    </row>
    <row r="15" spans="1:5" x14ac:dyDescent="0.25">
      <c r="A15" s="212" t="s">
        <v>377</v>
      </c>
      <c r="B15" s="212"/>
      <c r="C15" s="214">
        <f>PROB(A4:A11,B4:B11,,5)</f>
        <v>0.68</v>
      </c>
      <c r="E15" s="22" t="s">
        <v>381</v>
      </c>
    </row>
    <row r="16" spans="1:5" x14ac:dyDescent="0.25">
      <c r="A16" s="212" t="s">
        <v>378</v>
      </c>
      <c r="B16" s="212"/>
      <c r="C16" s="215">
        <f>PROB(A4:A11,B4:B11,3,5)</f>
        <v>0.31000000000000005</v>
      </c>
      <c r="E16" s="22" t="s">
        <v>379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4"/>
  <sheetViews>
    <sheetView workbookViewId="0">
      <selection activeCell="S8" sqref="S8"/>
    </sheetView>
  </sheetViews>
  <sheetFormatPr defaultRowHeight="15" x14ac:dyDescent="0.25"/>
  <cols>
    <col min="1" max="1" width="4.7109375" customWidth="1"/>
    <col min="2" max="2" width="6.140625" customWidth="1"/>
    <col min="3" max="3" width="6" customWidth="1"/>
    <col min="4" max="4" width="6.140625" customWidth="1"/>
    <col min="5" max="5" width="6.28515625" customWidth="1"/>
    <col min="9" max="11" width="6.28515625" customWidth="1"/>
    <col min="13" max="14" width="7.85546875" customWidth="1"/>
    <col min="17" max="18" width="6.42578125" customWidth="1"/>
  </cols>
  <sheetData>
    <row r="1" spans="1:19" x14ac:dyDescent="0.25">
      <c r="A1" s="1" t="s">
        <v>31</v>
      </c>
      <c r="M1" t="s">
        <v>195</v>
      </c>
      <c r="Q1" t="s">
        <v>196</v>
      </c>
    </row>
    <row r="2" spans="1:19" x14ac:dyDescent="0.25">
      <c r="G2" s="19" t="s">
        <v>194</v>
      </c>
    </row>
    <row r="3" spans="1:19" x14ac:dyDescent="0.25">
      <c r="A3" s="216">
        <v>14</v>
      </c>
      <c r="C3" s="101" t="s">
        <v>28</v>
      </c>
      <c r="D3" s="101" t="s">
        <v>99</v>
      </c>
      <c r="E3" s="101" t="s">
        <v>29</v>
      </c>
      <c r="G3" s="84" t="e">
        <f t="array" aca="1" ref="G3:G14" ca="1">NODUPES(A3:A14,"")</f>
        <v>#NAME?</v>
      </c>
      <c r="I3" s="101" t="s">
        <v>28</v>
      </c>
      <c r="J3" s="101" t="s">
        <v>99</v>
      </c>
      <c r="K3" s="101" t="s">
        <v>29</v>
      </c>
      <c r="M3" s="42" t="s">
        <v>299</v>
      </c>
      <c r="N3" s="42" t="s">
        <v>99</v>
      </c>
      <c r="O3" s="42" t="s">
        <v>193</v>
      </c>
      <c r="Q3" t="s">
        <v>117</v>
      </c>
    </row>
    <row r="4" spans="1:19" x14ac:dyDescent="0.25">
      <c r="A4" s="217">
        <v>18</v>
      </c>
      <c r="C4" s="8">
        <v>12</v>
      </c>
      <c r="D4" s="8">
        <f>COUNTIF($A$3:$A$15,C4)</f>
        <v>2</v>
      </c>
      <c r="E4" s="219">
        <f>D4/D$9</f>
        <v>0.16666666666666666</v>
      </c>
      <c r="G4" s="91" t="e">
        <f ca="1"/>
        <v>#NAME?</v>
      </c>
      <c r="I4" s="8">
        <v>12</v>
      </c>
      <c r="J4" s="8">
        <f>COUNTIF($A$3:$A$14,I4)</f>
        <v>2</v>
      </c>
      <c r="K4" s="8">
        <f>J4/J$9</f>
        <v>0.16666666666666666</v>
      </c>
      <c r="M4" s="86" t="e">
        <f t="array" aca="1" ref="M4:O8" ca="1">FREQTABLE(A3:A14)</f>
        <v>#NAME?</v>
      </c>
      <c r="N4" s="95" t="e">
        <f ca="1"/>
        <v>#NAME?</v>
      </c>
      <c r="O4" s="96" t="e">
        <f ca="1"/>
        <v>#NAME?</v>
      </c>
    </row>
    <row r="5" spans="1:19" x14ac:dyDescent="0.25">
      <c r="A5" s="217">
        <v>13</v>
      </c>
      <c r="C5" s="8">
        <v>13</v>
      </c>
      <c r="D5" s="8">
        <f>COUNTIF($A$3:$A$17,C5)</f>
        <v>3</v>
      </c>
      <c r="E5" s="219">
        <f>D5/D$9</f>
        <v>0.25</v>
      </c>
      <c r="G5" s="91" t="e">
        <f ca="1"/>
        <v>#NAME?</v>
      </c>
      <c r="I5" s="8">
        <v>13</v>
      </c>
      <c r="J5" s="8">
        <f>COUNTIF($A$3:$A$14,I5)</f>
        <v>3</v>
      </c>
      <c r="K5" s="8">
        <f>J5/J$9</f>
        <v>0.25</v>
      </c>
      <c r="M5" s="92" t="e">
        <f ca="1"/>
        <v>#NAME?</v>
      </c>
      <c r="N5" s="8" t="e">
        <f ca="1"/>
        <v>#NAME?</v>
      </c>
      <c r="O5" s="93" t="e">
        <f ca="1"/>
        <v>#NAME?</v>
      </c>
      <c r="Q5" s="168" t="s">
        <v>248</v>
      </c>
      <c r="R5" s="168" t="s">
        <v>99</v>
      </c>
      <c r="S5" s="168" t="s">
        <v>193</v>
      </c>
    </row>
    <row r="6" spans="1:19" x14ac:dyDescent="0.25">
      <c r="A6" s="217">
        <v>12</v>
      </c>
      <c r="C6" s="8">
        <v>14</v>
      </c>
      <c r="D6" s="8">
        <f>COUNTIF($A$3:$A$17,C6)</f>
        <v>1</v>
      </c>
      <c r="E6" s="219">
        <f>D6/D$9</f>
        <v>8.3333333333333329E-2</v>
      </c>
      <c r="G6" s="91" t="e">
        <f ca="1"/>
        <v>#NAME?</v>
      </c>
      <c r="I6" s="8">
        <v>14</v>
      </c>
      <c r="J6" s="8">
        <f>COUNTIF($A$3:$A$14,I6)</f>
        <v>1</v>
      </c>
      <c r="K6" s="8">
        <f>J6/J$9</f>
        <v>8.3333333333333329E-2</v>
      </c>
      <c r="M6" s="92" t="e">
        <f ca="1"/>
        <v>#NAME?</v>
      </c>
      <c r="N6" s="8" t="e">
        <f ca="1"/>
        <v>#NAME?</v>
      </c>
      <c r="O6" s="93" t="e">
        <f ca="1"/>
        <v>#NAME?</v>
      </c>
      <c r="Q6" t="e">
        <f t="array" aca="1" ref="Q6:Q10" ca="1">SortUnique(A3:A14)</f>
        <v>#NAME?</v>
      </c>
      <c r="R6">
        <f ca="1">COUNTIF($A$3:$A$14,Q6)</f>
        <v>0</v>
      </c>
      <c r="S6" t="e">
        <f ca="1">R6/$R$11</f>
        <v>#DIV/0!</v>
      </c>
    </row>
    <row r="7" spans="1:19" x14ac:dyDescent="0.25">
      <c r="A7" s="217">
        <v>18</v>
      </c>
      <c r="C7" s="8">
        <v>16</v>
      </c>
      <c r="D7" s="8">
        <f>COUNTIF($A$3:$A$17,C7)</f>
        <v>2</v>
      </c>
      <c r="E7" s="219">
        <f>D7/D$9</f>
        <v>0.16666666666666666</v>
      </c>
      <c r="G7" s="91" t="e">
        <f ca="1"/>
        <v>#NAME?</v>
      </c>
      <c r="I7" s="8">
        <v>16</v>
      </c>
      <c r="J7" s="8">
        <f>COUNTIF($A$3:$A$14,I7)</f>
        <v>2</v>
      </c>
      <c r="K7" s="8">
        <f>J7/J$9</f>
        <v>0.16666666666666666</v>
      </c>
      <c r="M7" s="92" t="e">
        <f ca="1"/>
        <v>#NAME?</v>
      </c>
      <c r="N7" s="8" t="e">
        <f ca="1"/>
        <v>#NAME?</v>
      </c>
      <c r="O7" s="93" t="e">
        <f ca="1"/>
        <v>#NAME?</v>
      </c>
      <c r="Q7" t="e">
        <f ca="1"/>
        <v>#NAME?</v>
      </c>
      <c r="R7">
        <f ca="1">COUNTIF($A$3:$A$14,Q7)</f>
        <v>0</v>
      </c>
      <c r="S7" t="e">
        <f ca="1">R7/$R$11</f>
        <v>#DIV/0!</v>
      </c>
    </row>
    <row r="8" spans="1:19" x14ac:dyDescent="0.25">
      <c r="A8" s="217">
        <v>12</v>
      </c>
      <c r="C8" s="11">
        <v>18</v>
      </c>
      <c r="D8" s="11">
        <f>COUNTIF($A$3:$A$17,C8)</f>
        <v>4</v>
      </c>
      <c r="E8" s="220">
        <f>D8/D$9</f>
        <v>0.33333333333333331</v>
      </c>
      <c r="G8" s="91" t="e">
        <f ca="1"/>
        <v>#NAME?</v>
      </c>
      <c r="I8" s="11">
        <v>18</v>
      </c>
      <c r="J8" s="11">
        <f>COUNTIF($A$3:$A$14,I8)</f>
        <v>4</v>
      </c>
      <c r="K8" s="11">
        <f>J8/J$9</f>
        <v>0.33333333333333331</v>
      </c>
      <c r="M8" s="80" t="e">
        <f ca="1"/>
        <v>#NAME?</v>
      </c>
      <c r="N8" s="81" t="e">
        <f ca="1"/>
        <v>#NAME?</v>
      </c>
      <c r="O8" s="83" t="e">
        <f ca="1"/>
        <v>#NAME?</v>
      </c>
      <c r="Q8" t="e">
        <f ca="1"/>
        <v>#NAME?</v>
      </c>
      <c r="R8">
        <f ca="1">COUNTIF($A$3:$A$14,Q8)</f>
        <v>0</v>
      </c>
      <c r="S8" t="e">
        <f ca="1">R8/$R$11</f>
        <v>#DIV/0!</v>
      </c>
    </row>
    <row r="9" spans="1:19" x14ac:dyDescent="0.25">
      <c r="A9" s="217">
        <v>13</v>
      </c>
      <c r="D9">
        <f>SUM(D4:D8)</f>
        <v>12</v>
      </c>
      <c r="G9" s="91" t="e">
        <f ca="1"/>
        <v>#NAME?</v>
      </c>
      <c r="J9">
        <f>SUM(J4:J8)</f>
        <v>12</v>
      </c>
      <c r="Q9" t="e">
        <f ca="1"/>
        <v>#NAME?</v>
      </c>
      <c r="R9">
        <f ca="1">COUNTIF($A$3:$A$14,Q9)</f>
        <v>0</v>
      </c>
      <c r="S9" t="e">
        <f ca="1">R9/$R$11</f>
        <v>#DIV/0!</v>
      </c>
    </row>
    <row r="10" spans="1:19" x14ac:dyDescent="0.25">
      <c r="A10" s="217">
        <v>13</v>
      </c>
      <c r="G10" s="91" t="e">
        <f ca="1"/>
        <v>#NAME?</v>
      </c>
      <c r="Q10" s="162" t="e">
        <f ca="1"/>
        <v>#NAME?</v>
      </c>
      <c r="R10" s="162">
        <f ca="1">COUNTIF($A$3:$A$14,Q10)</f>
        <v>0</v>
      </c>
      <c r="S10" s="162" t="e">
        <f ca="1">R10/$R$11</f>
        <v>#DIV/0!</v>
      </c>
    </row>
    <row r="11" spans="1:19" x14ac:dyDescent="0.25">
      <c r="A11" s="217">
        <v>16</v>
      </c>
      <c r="G11" s="91" t="e">
        <f ca="1"/>
        <v>#NAME?</v>
      </c>
      <c r="R11">
        <f ca="1">SUM(R6:R10)</f>
        <v>0</v>
      </c>
      <c r="S11" t="e">
        <f ca="1">SUM(S6:S10)</f>
        <v>#DIV/0!</v>
      </c>
    </row>
    <row r="12" spans="1:19" x14ac:dyDescent="0.25">
      <c r="A12" s="217">
        <v>18</v>
      </c>
      <c r="G12" s="91" t="e">
        <f ca="1"/>
        <v>#NAME?</v>
      </c>
    </row>
    <row r="13" spans="1:19" x14ac:dyDescent="0.25">
      <c r="A13" s="217">
        <v>18</v>
      </c>
      <c r="G13" s="91" t="e">
        <f ca="1"/>
        <v>#NAME?</v>
      </c>
    </row>
    <row r="14" spans="1:19" x14ac:dyDescent="0.25">
      <c r="A14" s="218">
        <v>16</v>
      </c>
      <c r="G14" s="85" t="e">
        <f ca="1"/>
        <v>#NAME?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6"/>
  <dimension ref="A1:N22"/>
  <sheetViews>
    <sheetView workbookViewId="0">
      <selection activeCell="I15" sqref="I15"/>
    </sheetView>
  </sheetViews>
  <sheetFormatPr defaultRowHeight="15" x14ac:dyDescent="0.25"/>
  <cols>
    <col min="1" max="1" width="12.5703125" customWidth="1"/>
    <col min="6" max="6" width="11" customWidth="1"/>
  </cols>
  <sheetData>
    <row r="1" spans="1:14" x14ac:dyDescent="0.25">
      <c r="A1" s="1" t="s">
        <v>308</v>
      </c>
    </row>
    <row r="2" spans="1:14" x14ac:dyDescent="0.25">
      <c r="A2" s="1"/>
    </row>
    <row r="3" spans="1:14" x14ac:dyDescent="0.25">
      <c r="A3" s="1"/>
      <c r="B3" s="19" t="s">
        <v>382</v>
      </c>
      <c r="C3" s="19" t="s">
        <v>383</v>
      </c>
      <c r="D3" s="19" t="s">
        <v>384</v>
      </c>
      <c r="L3" s="19" t="s">
        <v>382</v>
      </c>
      <c r="M3" s="19" t="s">
        <v>383</v>
      </c>
      <c r="N3" s="19" t="s">
        <v>384</v>
      </c>
    </row>
    <row r="4" spans="1:14" x14ac:dyDescent="0.25">
      <c r="A4" s="1"/>
      <c r="B4" s="179">
        <v>5</v>
      </c>
      <c r="C4" s="179">
        <v>5</v>
      </c>
      <c r="D4" s="179">
        <v>5</v>
      </c>
      <c r="L4" s="196">
        <v>5</v>
      </c>
      <c r="M4" s="194">
        <v>5</v>
      </c>
      <c r="N4" s="197">
        <v>5</v>
      </c>
    </row>
    <row r="5" spans="1:14" x14ac:dyDescent="0.25">
      <c r="A5" s="1"/>
      <c r="B5" s="91">
        <v>2</v>
      </c>
      <c r="C5" s="91">
        <v>2</v>
      </c>
      <c r="D5" s="91">
        <v>2</v>
      </c>
      <c r="L5" s="92">
        <v>2</v>
      </c>
      <c r="M5" s="8">
        <v>2</v>
      </c>
      <c r="N5" s="93">
        <v>2</v>
      </c>
    </row>
    <row r="6" spans="1:14" x14ac:dyDescent="0.25">
      <c r="A6" s="1"/>
      <c r="B6" s="91">
        <v>-1</v>
      </c>
      <c r="C6" s="91">
        <v>-1</v>
      </c>
      <c r="D6" s="91">
        <v>-1</v>
      </c>
      <c r="L6" s="92">
        <v>-1</v>
      </c>
      <c r="M6" s="8">
        <v>-1</v>
      </c>
      <c r="N6" s="93">
        <v>-1</v>
      </c>
    </row>
    <row r="7" spans="1:14" x14ac:dyDescent="0.25">
      <c r="A7" s="1"/>
      <c r="B7" s="91">
        <v>3</v>
      </c>
      <c r="C7" s="91">
        <v>3</v>
      </c>
      <c r="D7" s="91">
        <v>3</v>
      </c>
      <c r="G7" s="19" t="s">
        <v>385</v>
      </c>
      <c r="H7" s="19" t="s">
        <v>386</v>
      </c>
      <c r="I7" s="19" t="s">
        <v>387</v>
      </c>
      <c r="L7" s="92">
        <v>3</v>
      </c>
      <c r="M7" s="8">
        <v>3</v>
      </c>
      <c r="N7" s="93">
        <v>3</v>
      </c>
    </row>
    <row r="8" spans="1:14" x14ac:dyDescent="0.25">
      <c r="A8" s="1"/>
      <c r="B8" s="91">
        <v>7</v>
      </c>
      <c r="C8" s="91">
        <v>7</v>
      </c>
      <c r="D8" s="91">
        <v>7</v>
      </c>
      <c r="G8" s="179">
        <v>50</v>
      </c>
      <c r="H8" s="179">
        <v>1.05</v>
      </c>
      <c r="I8" s="179">
        <v>5</v>
      </c>
      <c r="L8" s="92">
        <v>7</v>
      </c>
      <c r="M8" s="8">
        <v>7</v>
      </c>
      <c r="N8" s="93">
        <v>7</v>
      </c>
    </row>
    <row r="9" spans="1:14" x14ac:dyDescent="0.25">
      <c r="A9" s="1"/>
      <c r="B9" s="91">
        <v>5</v>
      </c>
      <c r="C9" s="91">
        <v>5</v>
      </c>
      <c r="D9" s="91">
        <v>8</v>
      </c>
      <c r="G9" s="85">
        <v>80</v>
      </c>
      <c r="H9" s="91">
        <v>1.05</v>
      </c>
      <c r="I9" s="91">
        <v>2</v>
      </c>
      <c r="L9" s="92">
        <v>5</v>
      </c>
      <c r="M9" s="8">
        <v>5</v>
      </c>
      <c r="N9" s="93">
        <v>8</v>
      </c>
    </row>
    <row r="10" spans="1:14" x14ac:dyDescent="0.25">
      <c r="A10" s="1"/>
      <c r="B10" s="91">
        <v>0</v>
      </c>
      <c r="C10" s="91">
        <v>0</v>
      </c>
      <c r="D10" s="91">
        <v>0</v>
      </c>
      <c r="H10" s="91">
        <v>1.1000000000000001</v>
      </c>
      <c r="I10" s="91">
        <v>-1</v>
      </c>
      <c r="L10" s="92">
        <v>0</v>
      </c>
      <c r="M10" s="8">
        <v>0</v>
      </c>
      <c r="N10" s="93">
        <v>0</v>
      </c>
    </row>
    <row r="11" spans="1:14" x14ac:dyDescent="0.25">
      <c r="A11" s="1"/>
      <c r="B11" s="85"/>
      <c r="C11" s="85">
        <v>2</v>
      </c>
      <c r="D11" s="85">
        <v>6</v>
      </c>
      <c r="H11" s="85">
        <v>1.1000000000000001</v>
      </c>
      <c r="I11" s="85">
        <v>0</v>
      </c>
      <c r="L11" s="80"/>
      <c r="M11" s="162">
        <v>2</v>
      </c>
      <c r="N11" s="83">
        <v>6</v>
      </c>
    </row>
    <row r="12" spans="1:14" x14ac:dyDescent="0.25">
      <c r="A12" s="1"/>
    </row>
    <row r="13" spans="1:14" x14ac:dyDescent="0.25">
      <c r="A13" s="24" t="s">
        <v>310</v>
      </c>
      <c r="B13" s="116">
        <f>AVERAGE(B4:B11)</f>
        <v>3</v>
      </c>
      <c r="C13" s="113">
        <f>AVERAGE(C4:C11)</f>
        <v>2.875</v>
      </c>
      <c r="D13" s="117">
        <f>AVERAGE(D4:D11)</f>
        <v>3.75</v>
      </c>
      <c r="F13" t="s">
        <v>313</v>
      </c>
      <c r="G13" s="116">
        <f>HARMEAN(G8:G11)</f>
        <v>61.538461538461533</v>
      </c>
      <c r="H13" s="113">
        <f>HARMEAN(H8:H11)</f>
        <v>1.0744186046511628</v>
      </c>
      <c r="I13" s="117" t="e">
        <f>HARMEAN(I8:I11)</f>
        <v>#NUM!</v>
      </c>
      <c r="K13" t="s">
        <v>179</v>
      </c>
      <c r="L13" s="4" t="e">
        <f t="array" aca="1" ref="L13:N13" ca="1">COUNTCOL(L4:N11)</f>
        <v>#NAME?</v>
      </c>
      <c r="M13" s="178" t="e">
        <f ca="1"/>
        <v>#NAME?</v>
      </c>
      <c r="N13" s="6" t="e">
        <f ca="1"/>
        <v>#NAME?</v>
      </c>
    </row>
    <row r="14" spans="1:14" x14ac:dyDescent="0.25">
      <c r="A14" s="1"/>
      <c r="K14" t="s">
        <v>63</v>
      </c>
      <c r="L14" s="92" t="e">
        <f t="array" aca="1" ref="L14:N14" ca="1">MEANCOL(L4:N11)</f>
        <v>#NAME?</v>
      </c>
      <c r="M14" s="8" t="e">
        <f ca="1"/>
        <v>#NAME?</v>
      </c>
      <c r="N14" s="93" t="e">
        <f ca="1"/>
        <v>#NAME?</v>
      </c>
    </row>
    <row r="15" spans="1:14" x14ac:dyDescent="0.25">
      <c r="A15" s="24" t="s">
        <v>311</v>
      </c>
      <c r="B15" s="116">
        <f>MEDIAN(B4:B11)</f>
        <v>3</v>
      </c>
      <c r="C15" s="113">
        <f>MEDIAN(C4:C11)</f>
        <v>2.5</v>
      </c>
      <c r="D15" s="117">
        <f>MEDIAN(D4:D11)</f>
        <v>4</v>
      </c>
      <c r="F15" t="s">
        <v>314</v>
      </c>
      <c r="G15" s="116">
        <f>GEOMEAN(G8:G11)</f>
        <v>63.245553203367585</v>
      </c>
      <c r="H15" s="113">
        <f>GEOMEAN(H8:H11)</f>
        <v>1.074709263010234</v>
      </c>
      <c r="I15" s="117" t="e">
        <f>GEOMEAN(I8:I11)</f>
        <v>#NUM!</v>
      </c>
      <c r="K15" t="s">
        <v>420</v>
      </c>
      <c r="L15" s="80" t="e">
        <f t="array" aca="1" ref="L15:N15" ca="1">SUMCOL(L4:N11)</f>
        <v>#NAME?</v>
      </c>
      <c r="M15" s="162" t="e">
        <f ca="1"/>
        <v>#NAME?</v>
      </c>
      <c r="N15" s="83" t="e">
        <f ca="1"/>
        <v>#NAME?</v>
      </c>
    </row>
    <row r="17" spans="1:4" x14ac:dyDescent="0.25">
      <c r="A17" t="s">
        <v>309</v>
      </c>
      <c r="B17" s="116">
        <f>MODE(B4:B11)</f>
        <v>5</v>
      </c>
      <c r="C17" s="113">
        <f>MODE(C4:C11)</f>
        <v>5</v>
      </c>
      <c r="D17" s="117" t="e">
        <f>MODE(D4:D11)</f>
        <v>#N/A</v>
      </c>
    </row>
    <row r="19" spans="1:4" x14ac:dyDescent="0.25">
      <c r="A19" t="s">
        <v>429</v>
      </c>
      <c r="B19" s="116">
        <f>_xlfn.MODE.SNGL(B4:B11)</f>
        <v>5</v>
      </c>
      <c r="C19" s="113">
        <f>_xlfn.MODE.SNGL(C4:C11)</f>
        <v>5</v>
      </c>
      <c r="D19" s="117" t="e">
        <f>_xlfn.MODE.SNGL(D4:D11)</f>
        <v>#N/A</v>
      </c>
    </row>
    <row r="21" spans="1:4" x14ac:dyDescent="0.25">
      <c r="A21" t="s">
        <v>312</v>
      </c>
      <c r="B21" s="196">
        <f t="array" ref="B21:B22">_xlfn.MODE.MULT(B4:B11)</f>
        <v>5</v>
      </c>
      <c r="C21" s="178">
        <f t="array" ref="C21:C22">_xlfn.MODE.MULT(C4:C11)</f>
        <v>5</v>
      </c>
      <c r="D21" s="197" t="e">
        <f t="array" ref="D21:D22">_xlfn.MODE.MULT(D4:D11)</f>
        <v>#N/A</v>
      </c>
    </row>
    <row r="22" spans="1:4" x14ac:dyDescent="0.25">
      <c r="B22" s="80">
        <v>5</v>
      </c>
      <c r="C22" s="162">
        <v>2</v>
      </c>
      <c r="D22" s="83" t="e">
        <v>#N/A</v>
      </c>
    </row>
  </sheetData>
  <pageMargins left="0.7" right="0.7" top="0.75" bottom="0.75" header="0.3" footer="0.3"/>
  <ignoredErrors>
    <ignoredError sqref="I13 I15 D17 D19 D21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4"/>
  <sheetViews>
    <sheetView workbookViewId="0"/>
  </sheetViews>
  <sheetFormatPr defaultRowHeight="15" x14ac:dyDescent="0.25"/>
  <cols>
    <col min="1" max="1" width="21.140625" customWidth="1"/>
    <col min="2" max="2" width="11.140625" customWidth="1"/>
    <col min="3" max="3" width="5" customWidth="1"/>
    <col min="4" max="4" width="72.5703125" customWidth="1"/>
  </cols>
  <sheetData>
    <row r="1" spans="1:4" x14ac:dyDescent="0.25">
      <c r="A1" s="1" t="s">
        <v>33</v>
      </c>
    </row>
    <row r="3" spans="1:4" x14ac:dyDescent="0.25">
      <c r="A3" t="s">
        <v>34</v>
      </c>
    </row>
    <row r="5" spans="1:4" x14ac:dyDescent="0.25">
      <c r="A5" t="s">
        <v>35</v>
      </c>
      <c r="B5" s="21">
        <v>0.05</v>
      </c>
      <c r="D5" t="s">
        <v>36</v>
      </c>
    </row>
    <row r="6" spans="1:4" x14ac:dyDescent="0.25">
      <c r="A6" t="s">
        <v>37</v>
      </c>
      <c r="B6" s="21">
        <v>0.08</v>
      </c>
      <c r="D6" t="s">
        <v>38</v>
      </c>
    </row>
    <row r="7" spans="1:4" x14ac:dyDescent="0.25">
      <c r="A7" t="s">
        <v>39</v>
      </c>
      <c r="B7" s="21">
        <v>0.1</v>
      </c>
      <c r="D7" t="s">
        <v>40</v>
      </c>
    </row>
    <row r="8" spans="1:4" x14ac:dyDescent="0.25">
      <c r="B8" s="21"/>
    </row>
    <row r="9" spans="1:4" x14ac:dyDescent="0.25">
      <c r="A9" t="s">
        <v>41</v>
      </c>
      <c r="B9" s="21">
        <f>1+B5</f>
        <v>1.05</v>
      </c>
      <c r="D9" s="22" t="s">
        <v>42</v>
      </c>
    </row>
    <row r="10" spans="1:4" x14ac:dyDescent="0.25">
      <c r="A10" t="s">
        <v>43</v>
      </c>
      <c r="B10" s="21">
        <f>1+B6</f>
        <v>1.08</v>
      </c>
      <c r="D10" s="22" t="s">
        <v>44</v>
      </c>
    </row>
    <row r="11" spans="1:4" x14ac:dyDescent="0.25">
      <c r="A11" t="s">
        <v>45</v>
      </c>
      <c r="B11" s="21">
        <f>1+B7</f>
        <v>1.1000000000000001</v>
      </c>
      <c r="D11" s="22" t="s">
        <v>46</v>
      </c>
    </row>
    <row r="13" spans="1:4" x14ac:dyDescent="0.25">
      <c r="A13" t="s">
        <v>47</v>
      </c>
      <c r="B13" s="23">
        <f>B5+1</f>
        <v>1.05</v>
      </c>
      <c r="D13" s="22" t="s">
        <v>48</v>
      </c>
    </row>
    <row r="14" spans="1:4" x14ac:dyDescent="0.25">
      <c r="A14" t="s">
        <v>49</v>
      </c>
      <c r="B14" s="23">
        <f>(B6+1)*B13</f>
        <v>1.1340000000000001</v>
      </c>
      <c r="D14" s="22" t="s">
        <v>50</v>
      </c>
    </row>
    <row r="15" spans="1:4" x14ac:dyDescent="0.25">
      <c r="A15" t="s">
        <v>51</v>
      </c>
      <c r="B15" s="23">
        <f>(B7+1)*B14</f>
        <v>1.2474000000000003</v>
      </c>
      <c r="D15" s="22" t="s">
        <v>52</v>
      </c>
    </row>
    <row r="16" spans="1:4" x14ac:dyDescent="0.25">
      <c r="B16" s="23"/>
    </row>
    <row r="17" spans="1:4" x14ac:dyDescent="0.25">
      <c r="A17" t="s">
        <v>53</v>
      </c>
      <c r="B17" s="23">
        <f>GEOMEAN(B9:B11)</f>
        <v>1.076469955893838</v>
      </c>
      <c r="D17" s="22" t="s">
        <v>54</v>
      </c>
    </row>
    <row r="18" spans="1:4" x14ac:dyDescent="0.25">
      <c r="A18" t="s">
        <v>55</v>
      </c>
      <c r="B18" s="23">
        <f>B17-1</f>
        <v>7.6469955893837982E-2</v>
      </c>
      <c r="D18" s="22" t="s">
        <v>56</v>
      </c>
    </row>
    <row r="19" spans="1:4" s="24" customFormat="1" x14ac:dyDescent="0.25">
      <c r="A19" s="24" t="s">
        <v>57</v>
      </c>
      <c r="B19" s="25">
        <f>B17^3</f>
        <v>1.2474000000000003</v>
      </c>
      <c r="D19" s="22" t="s">
        <v>58</v>
      </c>
    </row>
    <row r="20" spans="1:4" x14ac:dyDescent="0.25">
      <c r="B20" s="23">
        <f>GEOMEAN(1.05,1.08,1.1)-1</f>
        <v>7.6469955893837982E-2</v>
      </c>
      <c r="D20" s="22" t="s">
        <v>247</v>
      </c>
    </row>
    <row r="22" spans="1:4" x14ac:dyDescent="0.25">
      <c r="B22">
        <f>1.05^2*1.1^2</f>
        <v>1.3340250000000002</v>
      </c>
      <c r="D22" s="22" t="s">
        <v>186</v>
      </c>
    </row>
    <row r="23" spans="1:4" x14ac:dyDescent="0.25">
      <c r="B23">
        <f>B22^(1/4)-1</f>
        <v>7.4709263010233951E-2</v>
      </c>
      <c r="D23" s="22" t="s">
        <v>187</v>
      </c>
    </row>
    <row r="24" spans="1:4" x14ac:dyDescent="0.25">
      <c r="B24">
        <f>GEOMEAN(1.05,1.05,1.1,1.1)-1</f>
        <v>7.4709263010233951E-2</v>
      </c>
      <c r="D24" s="22" t="s">
        <v>188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7"/>
  <dimension ref="A1:L23"/>
  <sheetViews>
    <sheetView workbookViewId="0"/>
  </sheetViews>
  <sheetFormatPr defaultRowHeight="15" x14ac:dyDescent="0.25"/>
  <cols>
    <col min="1" max="1" width="17.7109375" customWidth="1"/>
  </cols>
  <sheetData>
    <row r="1" spans="1:12" x14ac:dyDescent="0.25">
      <c r="A1" s="1" t="s">
        <v>315</v>
      </c>
    </row>
    <row r="3" spans="1:12" x14ac:dyDescent="0.25">
      <c r="B3" s="179">
        <v>5</v>
      </c>
      <c r="E3" s="179">
        <v>5</v>
      </c>
      <c r="J3" s="19" t="s">
        <v>382</v>
      </c>
      <c r="K3" s="19" t="s">
        <v>383</v>
      </c>
      <c r="L3" s="19" t="s">
        <v>384</v>
      </c>
    </row>
    <row r="4" spans="1:12" x14ac:dyDescent="0.25">
      <c r="B4" s="91">
        <v>2</v>
      </c>
      <c r="E4" s="91">
        <v>2</v>
      </c>
      <c r="J4" s="196">
        <v>5</v>
      </c>
      <c r="K4" s="194">
        <v>5</v>
      </c>
      <c r="L4" s="197">
        <v>5</v>
      </c>
    </row>
    <row r="5" spans="1:12" x14ac:dyDescent="0.25">
      <c r="B5" s="91">
        <v>-1</v>
      </c>
      <c r="E5" s="91">
        <v>-1</v>
      </c>
      <c r="J5" s="92">
        <v>2</v>
      </c>
      <c r="K5" s="8">
        <v>2</v>
      </c>
      <c r="L5" s="93">
        <v>2</v>
      </c>
    </row>
    <row r="6" spans="1:12" x14ac:dyDescent="0.25">
      <c r="B6" s="91">
        <v>3</v>
      </c>
      <c r="E6" s="91">
        <v>3</v>
      </c>
      <c r="J6" s="92">
        <v>-1</v>
      </c>
      <c r="K6" s="8">
        <v>-1</v>
      </c>
      <c r="L6" s="93">
        <v>-1</v>
      </c>
    </row>
    <row r="7" spans="1:12" x14ac:dyDescent="0.25">
      <c r="B7" s="91">
        <v>4</v>
      </c>
      <c r="E7" s="91">
        <v>4</v>
      </c>
      <c r="J7" s="92">
        <v>3</v>
      </c>
      <c r="K7" s="8">
        <v>3</v>
      </c>
      <c r="L7" s="93">
        <v>3</v>
      </c>
    </row>
    <row r="8" spans="1:12" x14ac:dyDescent="0.25">
      <c r="B8" s="91">
        <v>5</v>
      </c>
      <c r="E8" s="91">
        <v>5</v>
      </c>
      <c r="J8" s="92">
        <v>7</v>
      </c>
      <c r="K8" s="8">
        <v>7</v>
      </c>
      <c r="L8" s="93">
        <v>7</v>
      </c>
    </row>
    <row r="9" spans="1:12" x14ac:dyDescent="0.25">
      <c r="B9" s="91">
        <v>0</v>
      </c>
      <c r="E9" s="91">
        <v>0</v>
      </c>
      <c r="J9" s="92">
        <v>5</v>
      </c>
      <c r="K9" s="8">
        <v>5</v>
      </c>
      <c r="L9" s="93">
        <v>8</v>
      </c>
    </row>
    <row r="10" spans="1:12" x14ac:dyDescent="0.25">
      <c r="B10" s="85">
        <v>2</v>
      </c>
      <c r="E10" s="85">
        <v>2</v>
      </c>
      <c r="J10" s="92">
        <v>0</v>
      </c>
      <c r="K10" s="8">
        <v>0</v>
      </c>
      <c r="L10" s="93">
        <v>0</v>
      </c>
    </row>
    <row r="11" spans="1:12" x14ac:dyDescent="0.25">
      <c r="J11" s="80"/>
      <c r="K11" s="162">
        <v>2</v>
      </c>
      <c r="L11" s="83">
        <v>6</v>
      </c>
    </row>
    <row r="12" spans="1:12" x14ac:dyDescent="0.25">
      <c r="A12" t="s">
        <v>310</v>
      </c>
      <c r="B12" s="105">
        <f>AVERAGE(B3:B10)</f>
        <v>2.5</v>
      </c>
      <c r="D12" t="s">
        <v>311</v>
      </c>
      <c r="E12" s="105">
        <f>MEDIAN(E3:E10)</f>
        <v>2.5</v>
      </c>
    </row>
    <row r="13" spans="1:12" x14ac:dyDescent="0.25">
      <c r="I13" t="s">
        <v>179</v>
      </c>
      <c r="J13" s="196" t="e">
        <f t="array" aca="1" ref="J13:L13" ca="1">COUNTCOL(J4:L11)</f>
        <v>#NAME?</v>
      </c>
      <c r="K13" s="194" t="e">
        <f ca="1"/>
        <v>#NAME?</v>
      </c>
      <c r="L13" s="197" t="e">
        <f ca="1"/>
        <v>#NAME?</v>
      </c>
    </row>
    <row r="14" spans="1:12" x14ac:dyDescent="0.25">
      <c r="A14" t="s">
        <v>388</v>
      </c>
      <c r="B14" s="195">
        <f>VAR(B3:B10)</f>
        <v>4.8571428571428568</v>
      </c>
      <c r="D14" t="s">
        <v>92</v>
      </c>
      <c r="E14" s="105" t="e">
        <f ca="1">MAD(E3:E10)</f>
        <v>#NAME?</v>
      </c>
      <c r="I14" t="s">
        <v>63</v>
      </c>
      <c r="J14" s="92" t="e">
        <f t="array" aca="1" ref="J14:L14" ca="1">MEANCOL(J4:L11)</f>
        <v>#NAME?</v>
      </c>
      <c r="K14" s="8" t="e">
        <f ca="1"/>
        <v>#NAME?</v>
      </c>
      <c r="L14" s="93" t="e">
        <f ca="1"/>
        <v>#NAME?</v>
      </c>
    </row>
    <row r="15" spans="1:12" x14ac:dyDescent="0.25">
      <c r="A15" t="s">
        <v>389</v>
      </c>
      <c r="B15" s="85">
        <f>VARP(B3:B10)</f>
        <v>4.25</v>
      </c>
      <c r="I15" t="s">
        <v>191</v>
      </c>
      <c r="J15" s="92" t="e">
        <f t="array" aca="1" ref="J15:L15" ca="1">VARCOL(J4:L11)</f>
        <v>#NAME?</v>
      </c>
      <c r="K15" s="8" t="e">
        <f ca="1"/>
        <v>#NAME?</v>
      </c>
      <c r="L15" s="93" t="e">
        <f ca="1"/>
        <v>#NAME?</v>
      </c>
    </row>
    <row r="16" spans="1:12" x14ac:dyDescent="0.25">
      <c r="D16" t="s">
        <v>318</v>
      </c>
      <c r="E16" s="195">
        <f>MIN(E3:E10)</f>
        <v>-1</v>
      </c>
      <c r="I16" t="s">
        <v>66</v>
      </c>
      <c r="J16" s="80" t="e">
        <f t="array" aca="1" ref="J16:L16" ca="1">STDEVCOL(J4:L11)</f>
        <v>#NAME?</v>
      </c>
      <c r="K16" s="162" t="e">
        <f ca="1"/>
        <v>#NAME?</v>
      </c>
      <c r="L16" s="83" t="e">
        <f ca="1"/>
        <v>#NAME?</v>
      </c>
    </row>
    <row r="17" spans="1:6" x14ac:dyDescent="0.25">
      <c r="A17" t="s">
        <v>390</v>
      </c>
      <c r="B17" s="195">
        <f>STDEV(B3:B10)</f>
        <v>2.2038926600773587</v>
      </c>
      <c r="D17" t="s">
        <v>319</v>
      </c>
      <c r="E17" s="91">
        <f>MAX(E3:E10)</f>
        <v>5</v>
      </c>
    </row>
    <row r="18" spans="1:6" x14ac:dyDescent="0.25">
      <c r="A18" t="s">
        <v>391</v>
      </c>
      <c r="B18" s="85">
        <f>STDEVP(B3:B10)</f>
        <v>2.0615528128088303</v>
      </c>
      <c r="D18" t="s">
        <v>320</v>
      </c>
      <c r="E18" s="85" t="e">
        <f ca="1">RNG(E3:E10)</f>
        <v>#NAME?</v>
      </c>
    </row>
    <row r="20" spans="1:6" x14ac:dyDescent="0.25">
      <c r="A20" t="s">
        <v>316</v>
      </c>
      <c r="B20" s="105">
        <f>DEVSQ(B3:B10)</f>
        <v>34</v>
      </c>
      <c r="E20" s="19" t="s">
        <v>359</v>
      </c>
      <c r="F20" s="19" t="s">
        <v>360</v>
      </c>
    </row>
    <row r="21" spans="1:6" x14ac:dyDescent="0.25">
      <c r="D21" t="s">
        <v>134</v>
      </c>
      <c r="E21" s="196">
        <f>QUARTILE(E3:E10,1)</f>
        <v>1.5</v>
      </c>
      <c r="F21" s="197">
        <f>_xlfn.QUARTILE.EXC(E3:E10,1)</f>
        <v>0.5</v>
      </c>
    </row>
    <row r="22" spans="1:6" x14ac:dyDescent="0.25">
      <c r="A22" t="s">
        <v>317</v>
      </c>
      <c r="B22" s="105">
        <f>AVEDEV(B3:B10)</f>
        <v>1.75</v>
      </c>
      <c r="D22" t="s">
        <v>189</v>
      </c>
      <c r="E22" s="92">
        <f>QUARTILE(E3:E10,3)</f>
        <v>4.25</v>
      </c>
      <c r="F22" s="93">
        <f>_xlfn.QUARTILE.EXC(E3:E10,3)</f>
        <v>4.75</v>
      </c>
    </row>
    <row r="23" spans="1:6" x14ac:dyDescent="0.25">
      <c r="D23" t="s">
        <v>93</v>
      </c>
      <c r="E23" s="80" t="e">
        <f ca="1">IQR(E3:E10)</f>
        <v>#NAME?</v>
      </c>
      <c r="F23" s="83" t="e">
        <f ca="1">IQR(E3:E10,TRUE)</f>
        <v>#NAME?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5"/>
  <sheetViews>
    <sheetView workbookViewId="0"/>
  </sheetViews>
  <sheetFormatPr defaultRowHeight="15" x14ac:dyDescent="0.25"/>
  <cols>
    <col min="1" max="1" width="7.5703125" customWidth="1"/>
    <col min="2" max="4" width="9.5703125" customWidth="1"/>
    <col min="5" max="5" width="3.42578125" customWidth="1"/>
    <col min="6" max="6" width="9.42578125" customWidth="1"/>
  </cols>
  <sheetData>
    <row r="1" spans="1:6" x14ac:dyDescent="0.25">
      <c r="A1" s="1" t="s">
        <v>59</v>
      </c>
    </row>
    <row r="3" spans="1:6" x14ac:dyDescent="0.25">
      <c r="B3" s="70" t="s">
        <v>60</v>
      </c>
      <c r="C3" s="70" t="s">
        <v>61</v>
      </c>
      <c r="F3" s="70" t="s">
        <v>62</v>
      </c>
    </row>
    <row r="4" spans="1:6" x14ac:dyDescent="0.25">
      <c r="B4" s="72">
        <v>3</v>
      </c>
      <c r="C4" s="73">
        <v>6</v>
      </c>
      <c r="F4" s="74">
        <v>3</v>
      </c>
    </row>
    <row r="5" spans="1:6" x14ac:dyDescent="0.25">
      <c r="B5" s="66">
        <v>4</v>
      </c>
      <c r="C5" s="50">
        <v>1</v>
      </c>
      <c r="F5" s="69">
        <v>4</v>
      </c>
    </row>
    <row r="6" spans="1:6" x14ac:dyDescent="0.25">
      <c r="B6" s="66">
        <v>6</v>
      </c>
      <c r="C6" s="50">
        <v>5</v>
      </c>
      <c r="F6" s="69">
        <v>6</v>
      </c>
    </row>
    <row r="7" spans="1:6" x14ac:dyDescent="0.25">
      <c r="B7" s="51">
        <v>7</v>
      </c>
      <c r="C7" s="52"/>
      <c r="F7" s="69">
        <v>7</v>
      </c>
    </row>
    <row r="8" spans="1:6" x14ac:dyDescent="0.25">
      <c r="F8" s="69">
        <v>6</v>
      </c>
    </row>
    <row r="9" spans="1:6" x14ac:dyDescent="0.25">
      <c r="F9" s="69">
        <v>1</v>
      </c>
    </row>
    <row r="10" spans="1:6" x14ac:dyDescent="0.25">
      <c r="F10" s="64">
        <v>5</v>
      </c>
    </row>
    <row r="11" spans="1:6" x14ac:dyDescent="0.25">
      <c r="B11" s="70" t="s">
        <v>60</v>
      </c>
      <c r="C11" s="70" t="s">
        <v>61</v>
      </c>
      <c r="D11" s="70" t="s">
        <v>62</v>
      </c>
    </row>
    <row r="12" spans="1:6" x14ac:dyDescent="0.25">
      <c r="A12" t="s">
        <v>64</v>
      </c>
      <c r="B12" s="75">
        <f>COUNT(B4:B10)</f>
        <v>4</v>
      </c>
      <c r="C12" s="76">
        <f>COUNT(C4:C10)</f>
        <v>3</v>
      </c>
      <c r="D12" s="77">
        <f>F12</f>
        <v>7</v>
      </c>
      <c r="F12" s="78">
        <f>COUNT(F4:F10)</f>
        <v>7</v>
      </c>
    </row>
    <row r="13" spans="1:6" x14ac:dyDescent="0.25">
      <c r="A13" t="s">
        <v>63</v>
      </c>
      <c r="B13" s="68">
        <f>AVERAGE(B4:B10)</f>
        <v>5</v>
      </c>
      <c r="C13" s="8">
        <f>AVERAGE(C4:C10)</f>
        <v>4</v>
      </c>
      <c r="D13" s="9">
        <f>(B13*B12+C13*C12)/(B12+C12)</f>
        <v>4.5714285714285712</v>
      </c>
      <c r="F13" s="67">
        <f>AVERAGE(F4:F10)</f>
        <v>4.5714285714285712</v>
      </c>
    </row>
    <row r="14" spans="1:6" x14ac:dyDescent="0.25">
      <c r="A14" t="s">
        <v>65</v>
      </c>
      <c r="B14" s="68">
        <f>VAR(B4:B10)</f>
        <v>3.3333333333333335</v>
      </c>
      <c r="C14" s="8">
        <f>VAR(C4:C10)</f>
        <v>7</v>
      </c>
      <c r="D14" s="9">
        <f>((B12-1)*B14+(C12-1)*C14)/(B12+C12-1)+B12*C12*(B13-C13)^2/((B12+C12)*(B12+C12-1))</f>
        <v>4.2857142857142856</v>
      </c>
      <c r="F14" s="67">
        <f>VAR(F4:F10)</f>
        <v>4.2857142857142874</v>
      </c>
    </row>
    <row r="15" spans="1:6" x14ac:dyDescent="0.25">
      <c r="A15" t="s">
        <v>66</v>
      </c>
      <c r="B15" s="10">
        <f>STDEV(B4:B10)</f>
        <v>1.8257418583505538</v>
      </c>
      <c r="C15" s="11">
        <f>STDEV(C4:C10)</f>
        <v>2.6457513110645907</v>
      </c>
      <c r="D15" s="12">
        <f>SQRT(D14)</f>
        <v>2.0701966780270626</v>
      </c>
      <c r="F15" s="62">
        <f>STDEV(F4:F10)</f>
        <v>2.0701966780270631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I9"/>
  <sheetViews>
    <sheetView workbookViewId="0"/>
  </sheetViews>
  <sheetFormatPr defaultRowHeight="15" x14ac:dyDescent="0.25"/>
  <cols>
    <col min="2" max="2" width="5.5703125" customWidth="1"/>
    <col min="3" max="4" width="8.140625" customWidth="1"/>
    <col min="5" max="5" width="3.28515625" customWidth="1"/>
  </cols>
  <sheetData>
    <row r="1" spans="1:9" x14ac:dyDescent="0.25">
      <c r="A1" s="1" t="s">
        <v>497</v>
      </c>
    </row>
    <row r="3" spans="1:9" ht="15.75" customHeight="1" x14ac:dyDescent="0.3">
      <c r="B3" s="276" t="s">
        <v>105</v>
      </c>
      <c r="C3" s="276" t="s">
        <v>499</v>
      </c>
      <c r="D3" s="276" t="s">
        <v>500</v>
      </c>
      <c r="E3" s="276"/>
      <c r="F3" s="276" t="s">
        <v>28</v>
      </c>
      <c r="G3" s="276" t="s">
        <v>501</v>
      </c>
      <c r="H3" s="276" t="s">
        <v>502</v>
      </c>
      <c r="I3" s="276" t="s">
        <v>498</v>
      </c>
    </row>
    <row r="4" spans="1:9" x14ac:dyDescent="0.25">
      <c r="A4" t="s">
        <v>96</v>
      </c>
      <c r="B4" s="237">
        <v>23</v>
      </c>
      <c r="C4" s="55">
        <v>12</v>
      </c>
      <c r="D4" s="234">
        <v>100</v>
      </c>
      <c r="F4" s="237">
        <f>B4*C4</f>
        <v>276</v>
      </c>
      <c r="G4" s="55">
        <f>B4*C4^2</f>
        <v>3312</v>
      </c>
      <c r="H4" s="55">
        <f>(B4-1)*D4</f>
        <v>2200</v>
      </c>
      <c r="I4" s="234">
        <f>G4+H4</f>
        <v>5512</v>
      </c>
    </row>
    <row r="5" spans="1:9" x14ac:dyDescent="0.25">
      <c r="A5" t="s">
        <v>97</v>
      </c>
      <c r="B5" s="94">
        <v>15</v>
      </c>
      <c r="C5" s="277">
        <v>14</v>
      </c>
      <c r="D5" s="89">
        <v>144</v>
      </c>
      <c r="F5" s="94">
        <f>B5*C5</f>
        <v>210</v>
      </c>
      <c r="G5" s="277">
        <f>B5*C5^2</f>
        <v>2940</v>
      </c>
      <c r="H5" s="277">
        <f>(B5-1)*D5</f>
        <v>2016</v>
      </c>
      <c r="I5" s="89">
        <f>G5+H5</f>
        <v>4956</v>
      </c>
    </row>
    <row r="6" spans="1:9" x14ac:dyDescent="0.25">
      <c r="A6" t="s">
        <v>256</v>
      </c>
      <c r="B6" s="87">
        <v>20</v>
      </c>
      <c r="C6" s="278">
        <v>15</v>
      </c>
      <c r="D6" s="82">
        <v>256</v>
      </c>
      <c r="F6" s="87">
        <f>B6*C6</f>
        <v>300</v>
      </c>
      <c r="G6" s="278">
        <f>B6*C6^2</f>
        <v>4500</v>
      </c>
      <c r="H6" s="278">
        <f>(B6-1)*D6</f>
        <v>4864</v>
      </c>
      <c r="I6" s="82">
        <f>G6+H6</f>
        <v>9364</v>
      </c>
    </row>
    <row r="7" spans="1:9" x14ac:dyDescent="0.25">
      <c r="B7" s="276">
        <f>SUM(B4:B6)</f>
        <v>58</v>
      </c>
      <c r="C7" s="276">
        <f>F7/B7</f>
        <v>13.551724137931034</v>
      </c>
      <c r="D7" s="276">
        <f>(I7-B7*C7^2)/(B7-1)</f>
        <v>161.05868118572295</v>
      </c>
      <c r="F7" s="276">
        <f>SUM(F4:F6)</f>
        <v>786</v>
      </c>
      <c r="G7" s="276">
        <f>SUM(G4:G6)</f>
        <v>10752</v>
      </c>
      <c r="H7" s="276">
        <f>SUM(H4:H6)</f>
        <v>9080</v>
      </c>
      <c r="I7" s="276">
        <f>SUM(I4:I6)</f>
        <v>19832</v>
      </c>
    </row>
    <row r="9" spans="1:9" x14ac:dyDescent="0.25">
      <c r="C9" s="276">
        <f>SUMPRODUCT(B4:B6,C4:C6)/SUM(B4:B6)</f>
        <v>13.551724137931034</v>
      </c>
      <c r="D9" s="276">
        <f>(SUMPRODUCT(B4:B6,C4:C6^2)+SUMPRODUCT(B4:B6-1,D4:D6)-SUM(B4:B6)*C7^2)/(SUM(B4:B6)-1)</f>
        <v>161.05868118572295</v>
      </c>
      <c r="F9" s="276">
        <f>SUMPRODUCT(B4:B6,C4:C6)</f>
        <v>786</v>
      </c>
      <c r="G9" s="276">
        <f>SUMPRODUCT(B4:B6,C4:C6^2)</f>
        <v>10752</v>
      </c>
      <c r="H9" s="276">
        <f>SUMPRODUCT(B4:B6-1,D4:D6)</f>
        <v>9080</v>
      </c>
      <c r="I9" s="276">
        <f>G9+H9</f>
        <v>19832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8"/>
  <dimension ref="A1:G13"/>
  <sheetViews>
    <sheetView workbookViewId="0"/>
  </sheetViews>
  <sheetFormatPr defaultRowHeight="15" x14ac:dyDescent="0.25"/>
  <cols>
    <col min="1" max="1" width="2.7109375" customWidth="1"/>
    <col min="3" max="3" width="3.7109375" customWidth="1"/>
    <col min="6" max="6" width="5.140625" customWidth="1"/>
    <col min="7" max="7" width="41.85546875" customWidth="1"/>
  </cols>
  <sheetData>
    <row r="1" spans="1:7" x14ac:dyDescent="0.25">
      <c r="A1" s="1" t="s">
        <v>180</v>
      </c>
    </row>
    <row r="3" spans="1:7" x14ac:dyDescent="0.25">
      <c r="D3" t="s">
        <v>321</v>
      </c>
      <c r="E3" s="271">
        <f>SKEW(B4:B11)</f>
        <v>-0.42705186492848496</v>
      </c>
      <c r="G3" t="e">
        <f ca="1">FTEXT(E3)</f>
        <v>#NAME?</v>
      </c>
    </row>
    <row r="4" spans="1:7" x14ac:dyDescent="0.25">
      <c r="B4" s="179">
        <v>2</v>
      </c>
      <c r="D4" t="s">
        <v>322</v>
      </c>
      <c r="E4" s="85">
        <f>KURT(B4:B11)</f>
        <v>-0.93979238754325056</v>
      </c>
      <c r="G4" t="e">
        <f ca="1">FTEXT(E4)</f>
        <v>#NAME?</v>
      </c>
    </row>
    <row r="5" spans="1:7" x14ac:dyDescent="0.25">
      <c r="B5" s="91">
        <v>5</v>
      </c>
    </row>
    <row r="6" spans="1:7" x14ac:dyDescent="0.25">
      <c r="B6" s="91">
        <v>-1</v>
      </c>
      <c r="D6" t="s">
        <v>105</v>
      </c>
      <c r="E6" s="105">
        <f>COUNT(B4:B11)</f>
        <v>8</v>
      </c>
      <c r="G6" t="e">
        <f ca="1">FTEXT(E6)</f>
        <v>#NAME?</v>
      </c>
    </row>
    <row r="7" spans="1:7" x14ac:dyDescent="0.25">
      <c r="B7" s="91">
        <v>3</v>
      </c>
    </row>
    <row r="8" spans="1:7" x14ac:dyDescent="0.25">
      <c r="B8" s="91">
        <v>4</v>
      </c>
      <c r="D8" t="s">
        <v>462</v>
      </c>
      <c r="E8" s="271">
        <f>_xlfn.SKEW.P(B4:B11)</f>
        <v>-0.34240323534541128</v>
      </c>
      <c r="G8" t="e">
        <f ca="1">FTEXT(E8)</f>
        <v>#NAME?</v>
      </c>
    </row>
    <row r="9" spans="1:7" x14ac:dyDescent="0.25">
      <c r="B9" s="91">
        <v>5</v>
      </c>
      <c r="E9" s="91" t="e">
        <f ca="1">SKEWP(B4:B11)</f>
        <v>#NAME?</v>
      </c>
      <c r="G9" t="e">
        <f ca="1">FTEXT(E9)</f>
        <v>#NAME?</v>
      </c>
    </row>
    <row r="10" spans="1:7" x14ac:dyDescent="0.25">
      <c r="B10" s="91">
        <v>0</v>
      </c>
      <c r="E10" s="85">
        <f>E3*(E6-2)/SQRT(E6*(E6-1))</f>
        <v>-0.34240323534541145</v>
      </c>
      <c r="G10" t="e">
        <f ca="1">FTEXT(E10)</f>
        <v>#NAME?</v>
      </c>
    </row>
    <row r="11" spans="1:7" x14ac:dyDescent="0.25">
      <c r="B11" s="85">
        <v>2</v>
      </c>
    </row>
    <row r="12" spans="1:7" x14ac:dyDescent="0.25">
      <c r="D12" t="s">
        <v>461</v>
      </c>
      <c r="E12" s="271" t="e">
        <f ca="1">KURTP(B4:B11)</f>
        <v>#NAME?</v>
      </c>
      <c r="G12" t="e">
        <f ca="1">FTEXT(E12)</f>
        <v>#NAME?</v>
      </c>
    </row>
    <row r="13" spans="1:7" x14ac:dyDescent="0.25">
      <c r="E13" s="233">
        <f>(KURT(B4:B11)*(E6-2)*(E6-3)/(E6-1)-6)/(E6+1)</f>
        <v>-1.1141868512110717</v>
      </c>
      <c r="G13" t="e">
        <f ca="1">FTEXT(E13)</f>
        <v>#NAME?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9"/>
  <dimension ref="A1:O23"/>
  <sheetViews>
    <sheetView workbookViewId="0"/>
  </sheetViews>
  <sheetFormatPr defaultRowHeight="15" x14ac:dyDescent="0.25"/>
  <cols>
    <col min="5" max="5" width="7.7109375" customWidth="1"/>
  </cols>
  <sheetData>
    <row r="1" spans="1:15" x14ac:dyDescent="0.25">
      <c r="A1" s="1" t="s">
        <v>211</v>
      </c>
      <c r="B1" s="1"/>
      <c r="J1" t="s">
        <v>183</v>
      </c>
      <c r="N1" t="s">
        <v>339</v>
      </c>
    </row>
    <row r="2" spans="1:15" x14ac:dyDescent="0.25">
      <c r="E2" s="19" t="s">
        <v>136</v>
      </c>
      <c r="F2" s="19" t="s">
        <v>70</v>
      </c>
      <c r="G2" s="19" t="s">
        <v>252</v>
      </c>
      <c r="H2" s="180"/>
    </row>
    <row r="3" spans="1:15" x14ac:dyDescent="0.25">
      <c r="C3" s="179">
        <v>4</v>
      </c>
      <c r="E3" s="179">
        <v>4</v>
      </c>
      <c r="F3" s="196">
        <f>RANK(E3,$E$3:$E$7)</f>
        <v>3</v>
      </c>
      <c r="G3" s="197">
        <f>RANK(E3,$E$3:$E$7,1)</f>
        <v>3</v>
      </c>
      <c r="J3" s="180" t="s">
        <v>328</v>
      </c>
      <c r="K3" s="180" t="s">
        <v>327</v>
      </c>
      <c r="N3" s="182" t="s">
        <v>337</v>
      </c>
      <c r="O3" s="182" t="s">
        <v>338</v>
      </c>
    </row>
    <row r="4" spans="1:15" x14ac:dyDescent="0.25">
      <c r="C4" s="91">
        <v>0</v>
      </c>
      <c r="E4" s="91">
        <v>0</v>
      </c>
      <c r="F4" s="92">
        <f>RANK(E4,$E$3:$E$7)</f>
        <v>4</v>
      </c>
      <c r="G4" s="93">
        <f>RANK(E4,$E$3:$E$7,1)</f>
        <v>2</v>
      </c>
      <c r="I4" s="21">
        <v>0</v>
      </c>
      <c r="J4" s="196">
        <f>PERCENTILE($E$3:$E$7,I4)</f>
        <v>-1</v>
      </c>
      <c r="K4" s="197" t="e">
        <f>_xlfn.PERCENTILE.EXC($E$3:$E$7,I4)</f>
        <v>#NUM!</v>
      </c>
      <c r="M4">
        <v>0</v>
      </c>
      <c r="N4" s="154">
        <f>QUARTILE($E$3:$E$7,M4)</f>
        <v>-1</v>
      </c>
      <c r="O4" s="156" t="e">
        <f>_xlfn.QUARTILE.EXC($E$3:$E$7,M4)</f>
        <v>#NUM!</v>
      </c>
    </row>
    <row r="5" spans="1:15" x14ac:dyDescent="0.25">
      <c r="C5" s="91">
        <v>-1</v>
      </c>
      <c r="E5" s="91">
        <v>-1</v>
      </c>
      <c r="F5" s="92">
        <f>RANK(E5,$E$3:$E$7)</f>
        <v>5</v>
      </c>
      <c r="G5" s="93">
        <f>RANK(E5,$E$3:$E$7,1)</f>
        <v>1</v>
      </c>
      <c r="I5" s="223">
        <f>I4+0.25</f>
        <v>0.25</v>
      </c>
      <c r="J5" s="92">
        <f>PERCENTILE($E$3:$E$7,I5)</f>
        <v>0</v>
      </c>
      <c r="K5" s="93">
        <f>_xlfn.PERCENTILE.EXC($E$3:$E$7,I5)</f>
        <v>-0.5</v>
      </c>
      <c r="M5">
        <v>1</v>
      </c>
      <c r="N5" s="92">
        <f>QUARTILE($E$3:$E$7,M5)</f>
        <v>0</v>
      </c>
      <c r="O5" s="93">
        <f>_xlfn.QUARTILE.EXC($E$3:$E$7,M5)</f>
        <v>-0.5</v>
      </c>
    </row>
    <row r="6" spans="1:15" x14ac:dyDescent="0.25">
      <c r="C6" s="91">
        <v>7</v>
      </c>
      <c r="E6" s="91">
        <v>7</v>
      </c>
      <c r="F6" s="92">
        <f>RANK(E6,$E$3:$E$7)</f>
        <v>1</v>
      </c>
      <c r="G6" s="93">
        <f>RANK(E6,$E$3:$E$7,1)</f>
        <v>5</v>
      </c>
      <c r="I6" s="223">
        <f>I5+0.25</f>
        <v>0.5</v>
      </c>
      <c r="J6" s="92">
        <f>PERCENTILE($E$3:$E$7,I6)</f>
        <v>4</v>
      </c>
      <c r="K6" s="93">
        <f>_xlfn.PERCENTILE.EXC($E$3:$E$7,I6)</f>
        <v>4</v>
      </c>
      <c r="M6">
        <v>2</v>
      </c>
      <c r="N6" s="92">
        <f>QUARTILE($E$3:$E$7,M6)</f>
        <v>4</v>
      </c>
      <c r="O6" s="93">
        <f>_xlfn.QUARTILE.EXC($E$3:$E$7,M6)</f>
        <v>4</v>
      </c>
    </row>
    <row r="7" spans="1:15" x14ac:dyDescent="0.25">
      <c r="C7" s="85">
        <v>5</v>
      </c>
      <c r="E7" s="85">
        <v>5</v>
      </c>
      <c r="F7" s="80">
        <f>RANK(E7,$E$3:$E$7)</f>
        <v>2</v>
      </c>
      <c r="G7" s="83">
        <f>RANK(E7,$E$3:$E$7,1)</f>
        <v>4</v>
      </c>
      <c r="I7" s="223">
        <f>I6+0.25</f>
        <v>0.75</v>
      </c>
      <c r="J7" s="92">
        <f>PERCENTILE($E$3:$E$7,I7)</f>
        <v>5</v>
      </c>
      <c r="K7" s="93">
        <f>_xlfn.PERCENTILE.EXC($E$3:$E$7,I7)</f>
        <v>6</v>
      </c>
      <c r="M7">
        <v>3</v>
      </c>
      <c r="N7" s="92">
        <f>QUARTILE($E$3:$E$7,M7)</f>
        <v>5</v>
      </c>
      <c r="O7" s="93">
        <f>_xlfn.QUARTILE.EXC($E$3:$E$7,M7)</f>
        <v>6</v>
      </c>
    </row>
    <row r="8" spans="1:15" x14ac:dyDescent="0.25">
      <c r="I8" s="223">
        <f>I7+0.25</f>
        <v>1</v>
      </c>
      <c r="J8" s="80">
        <f>PERCENTILE($E$3:$E$7,I8)</f>
        <v>7</v>
      </c>
      <c r="K8" s="83" t="e">
        <f>_xlfn.PERCENTILE.EXC($E$3:$E$7,I8)</f>
        <v>#NUM!</v>
      </c>
      <c r="M8">
        <v>4</v>
      </c>
      <c r="N8" s="80">
        <f>QUARTILE($E$3:$E$7,M8)</f>
        <v>7</v>
      </c>
      <c r="O8" s="83" t="e">
        <f>_xlfn.QUARTILE.EXC($E$3:$E$7,M8)</f>
        <v>#NUM!</v>
      </c>
    </row>
    <row r="9" spans="1:15" x14ac:dyDescent="0.25">
      <c r="A9" t="s">
        <v>318</v>
      </c>
      <c r="C9">
        <f>MIN(C3:C7)</f>
        <v>-1</v>
      </c>
      <c r="E9" s="19" t="s">
        <v>136</v>
      </c>
      <c r="F9" s="19" t="s">
        <v>70</v>
      </c>
      <c r="G9" s="19" t="s">
        <v>252</v>
      </c>
      <c r="H9" s="180"/>
      <c r="I9" s="223"/>
    </row>
    <row r="10" spans="1:15" x14ac:dyDescent="0.25">
      <c r="A10" t="s">
        <v>319</v>
      </c>
      <c r="C10">
        <f>MAX(C3:C7)</f>
        <v>7</v>
      </c>
      <c r="E10" s="179">
        <v>1</v>
      </c>
      <c r="F10" s="196" t="e">
        <f ca="1">RANK_AVG(E10,$E$10:$E$14)</f>
        <v>#NAME?</v>
      </c>
      <c r="G10" s="197" t="e">
        <f ca="1">RANK_AVG(E10,$E$10:$E$14,1)</f>
        <v>#NAME?</v>
      </c>
      <c r="I10" s="223">
        <v>0.45</v>
      </c>
      <c r="J10" s="196">
        <f>PERCENTILE($E$3:$E$7,I10)</f>
        <v>3.1999999999999993</v>
      </c>
      <c r="K10" s="197">
        <f>_xlfn.PERCENTILE.EXC($E$3:$E$7,I10)</f>
        <v>2.8000000000000007</v>
      </c>
    </row>
    <row r="11" spans="1:15" x14ac:dyDescent="0.25">
      <c r="B11" s="19" t="s">
        <v>135</v>
      </c>
      <c r="E11" s="91">
        <v>5</v>
      </c>
      <c r="F11" s="92" t="e">
        <f ca="1">RANK_AVG(E11,$E$10:$E$14)</f>
        <v>#NAME?</v>
      </c>
      <c r="G11" s="93" t="e">
        <f ca="1">RANK_AVG(E11,$E$10:$E$14,1)</f>
        <v>#NAME?</v>
      </c>
      <c r="I11" s="223">
        <v>0.8</v>
      </c>
      <c r="J11" s="80">
        <f>PERCENTILE($E$3:$E$7,I11)</f>
        <v>5.4</v>
      </c>
      <c r="K11" s="83">
        <f>_xlfn.PERCENTILE.EXC($E$3:$E$7,I11)</f>
        <v>6.6000000000000014</v>
      </c>
    </row>
    <row r="12" spans="1:15" x14ac:dyDescent="0.25">
      <c r="A12" t="s">
        <v>323</v>
      </c>
      <c r="B12">
        <v>1</v>
      </c>
      <c r="C12">
        <f>SMALL($C$3:$C$7,B12)</f>
        <v>-1</v>
      </c>
      <c r="E12" s="91">
        <v>5</v>
      </c>
      <c r="F12" s="92" t="e">
        <f ca="1">RANK_AVG(E12,$E$10:$E$14)</f>
        <v>#NAME?</v>
      </c>
      <c r="G12" s="93" t="e">
        <f ca="1">RANK_AVG(E12,$E$10:$E$14,1)</f>
        <v>#NAME?</v>
      </c>
    </row>
    <row r="13" spans="1:15" x14ac:dyDescent="0.25">
      <c r="B13">
        <f>B12+1</f>
        <v>2</v>
      </c>
      <c r="C13">
        <f>SMALL($C$3:$C$7,B13)</f>
        <v>0</v>
      </c>
      <c r="E13" s="91">
        <v>0</v>
      </c>
      <c r="F13" s="92" t="e">
        <f ca="1">RANK_AVG(E13,$E$10:$E$14)</f>
        <v>#NAME?</v>
      </c>
      <c r="G13" s="93" t="e">
        <f ca="1">RANK_AVG(E13,$E$10:$E$14,1)</f>
        <v>#NAME?</v>
      </c>
    </row>
    <row r="14" spans="1:15" x14ac:dyDescent="0.25">
      <c r="B14">
        <f>B13+1</f>
        <v>3</v>
      </c>
      <c r="C14">
        <f>SMALL($C$3:$C$7,B14)</f>
        <v>4</v>
      </c>
      <c r="E14" s="85">
        <v>8</v>
      </c>
      <c r="F14" s="80" t="e">
        <f ca="1">RANK_AVG(E14,$E$10:$E$14)</f>
        <v>#NAME?</v>
      </c>
      <c r="G14" s="83" t="e">
        <f ca="1">RANK_AVG(E14,$E$10:$E$14,1)</f>
        <v>#NAME?</v>
      </c>
      <c r="J14" t="s">
        <v>437</v>
      </c>
    </row>
    <row r="15" spans="1:15" x14ac:dyDescent="0.25">
      <c r="B15">
        <f>B14+1</f>
        <v>4</v>
      </c>
      <c r="C15">
        <f>SMALL($C$3:$C$7,B15)</f>
        <v>5</v>
      </c>
    </row>
    <row r="16" spans="1:15" x14ac:dyDescent="0.25">
      <c r="B16">
        <f>B15+1</f>
        <v>5</v>
      </c>
      <c r="C16">
        <f>SMALL($C$3:$C$7,B16)</f>
        <v>7</v>
      </c>
      <c r="E16" s="19" t="s">
        <v>136</v>
      </c>
      <c r="F16" s="19" t="s">
        <v>70</v>
      </c>
      <c r="G16" s="19" t="s">
        <v>252</v>
      </c>
      <c r="H16" s="180"/>
      <c r="J16" s="269" t="s">
        <v>359</v>
      </c>
      <c r="K16" s="269" t="s">
        <v>360</v>
      </c>
    </row>
    <row r="17" spans="1:11" x14ac:dyDescent="0.25">
      <c r="E17" s="179">
        <v>1</v>
      </c>
      <c r="F17" s="221" t="e">
        <f ca="1">RANK_AVG(E17,$E$17:$E$23)</f>
        <v>#NAME?</v>
      </c>
      <c r="G17" s="222" t="e">
        <f ca="1">RANK_AVG(E17,$E$17:$E$23,1)</f>
        <v>#NAME?</v>
      </c>
      <c r="I17">
        <v>5</v>
      </c>
      <c r="J17" s="196">
        <f>PERCENTRANK($C$3:$C$7,I17,5)</f>
        <v>0.75</v>
      </c>
      <c r="K17" s="197">
        <f>_xlfn.PERCENTRANK.EXC($C$3:$C$7,I17,5)</f>
        <v>0.66666000000000003</v>
      </c>
    </row>
    <row r="18" spans="1:11" x14ac:dyDescent="0.25">
      <c r="A18" t="s">
        <v>324</v>
      </c>
      <c r="B18" s="19" t="s">
        <v>135</v>
      </c>
      <c r="E18" s="91">
        <v>5</v>
      </c>
      <c r="F18" s="97" t="e">
        <f ca="1">RANK_AVG(E18,$E$17:$E$23)</f>
        <v>#NAME?</v>
      </c>
      <c r="G18" s="98" t="e">
        <f ca="1">RANK_AVG(E18,$E$17:$E$23,1)</f>
        <v>#NAME?</v>
      </c>
      <c r="I18">
        <v>5.4</v>
      </c>
      <c r="J18" s="92">
        <f>PERCENTRANK($C$3:$C$7,I18,5)</f>
        <v>0.8</v>
      </c>
      <c r="K18" s="93">
        <f>_xlfn.PERCENTRANK.EXC($C$3:$C$7,I18,5)</f>
        <v>0.7</v>
      </c>
    </row>
    <row r="19" spans="1:11" x14ac:dyDescent="0.25">
      <c r="B19">
        <v>1</v>
      </c>
      <c r="C19">
        <f>LARGE($C$3:$C$7,B19)</f>
        <v>7</v>
      </c>
      <c r="E19" s="91">
        <v>5</v>
      </c>
      <c r="F19" s="97" t="e">
        <f ca="1">RANK_AVG(E19,$E$17:$E$23)</f>
        <v>#NAME?</v>
      </c>
      <c r="G19" s="98" t="e">
        <f ca="1">RANK_AVG(E19,$E$17:$E$23,1)</f>
        <v>#NAME?</v>
      </c>
      <c r="I19">
        <v>0.85</v>
      </c>
      <c r="J19" s="80">
        <f>PERCENTRANK($C$3:$C$7,I19,5)</f>
        <v>0.30312</v>
      </c>
      <c r="K19" s="83">
        <f>_xlfn.PERCENTRANK.EXC($C$3:$C$7,I19,5)</f>
        <v>0.36875000000000002</v>
      </c>
    </row>
    <row r="20" spans="1:11" x14ac:dyDescent="0.25">
      <c r="B20">
        <f>B19+1</f>
        <v>2</v>
      </c>
      <c r="C20">
        <f>LARGE($C$3:$C$7,B20)</f>
        <v>5</v>
      </c>
      <c r="E20" s="91">
        <v>0</v>
      </c>
      <c r="F20" s="97" t="e">
        <f ca="1">RANK_AVG(E20,$E$17:$E$23)</f>
        <v>#NAME?</v>
      </c>
      <c r="G20" s="98" t="e">
        <f ca="1">RANK_AVG(E20,$E$17:$E$23,1)</f>
        <v>#NAME?</v>
      </c>
    </row>
    <row r="21" spans="1:11" x14ac:dyDescent="0.25">
      <c r="B21">
        <f>B20+1</f>
        <v>3</v>
      </c>
      <c r="C21">
        <f>LARGE($C$3:$C$7,B21)</f>
        <v>4</v>
      </c>
      <c r="E21" s="91">
        <v>8</v>
      </c>
      <c r="F21" s="97" t="e">
        <f ca="1">RANK_AVG(E21,$E$17:$E$23)</f>
        <v>#NAME?</v>
      </c>
      <c r="G21" s="98" t="e">
        <f ca="1">RANK_AVG(E21,$E$17:$E$23,1)</f>
        <v>#NAME?</v>
      </c>
    </row>
    <row r="22" spans="1:11" x14ac:dyDescent="0.25">
      <c r="B22">
        <f>B21+1</f>
        <v>4</v>
      </c>
      <c r="C22">
        <f>LARGE($C$3:$C$7,B22)</f>
        <v>0</v>
      </c>
      <c r="E22" s="184">
        <v>8</v>
      </c>
      <c r="F22" s="97" t="e">
        <f ca="1">RANK_AVG(E22,$E$17:$E$23)</f>
        <v>#NAME?</v>
      </c>
      <c r="G22" s="98" t="e">
        <f ca="1">RANK_AVG(E22,$E$17:$E$23,1)</f>
        <v>#NAME?</v>
      </c>
    </row>
    <row r="23" spans="1:11" x14ac:dyDescent="0.25">
      <c r="B23">
        <f>B22+1</f>
        <v>5</v>
      </c>
      <c r="C23">
        <f>LARGE($C$3:$C$7,B23)</f>
        <v>-1</v>
      </c>
      <c r="E23" s="185">
        <v>5</v>
      </c>
      <c r="F23" s="99" t="e">
        <f ca="1">RANK_AVG(E23,$E$17:$E$23)</f>
        <v>#NAME?</v>
      </c>
      <c r="G23" s="100" t="e">
        <f ca="1">RANK_AVG(E23,$E$17:$E$23,1)</f>
        <v>#NAME?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15"/>
  <sheetViews>
    <sheetView topLeftCell="S1" workbookViewId="0">
      <selection activeCell="AC14" sqref="AC14"/>
    </sheetView>
  </sheetViews>
  <sheetFormatPr defaultRowHeight="15" x14ac:dyDescent="0.25"/>
  <cols>
    <col min="2" max="13" width="5" customWidth="1"/>
    <col min="27" max="27" width="5.85546875" customWidth="1"/>
  </cols>
  <sheetData>
    <row r="1" spans="1:29" x14ac:dyDescent="0.25">
      <c r="A1" s="1" t="s">
        <v>67</v>
      </c>
      <c r="O1" t="s">
        <v>325</v>
      </c>
      <c r="T1" t="s">
        <v>326</v>
      </c>
      <c r="Y1" t="s">
        <v>329</v>
      </c>
      <c r="AB1" t="s">
        <v>330</v>
      </c>
    </row>
    <row r="2" spans="1:29" ht="15.75" thickBot="1" x14ac:dyDescent="0.3"/>
    <row r="3" spans="1:29" x14ac:dyDescent="0.25">
      <c r="A3" t="s">
        <v>69</v>
      </c>
      <c r="B3">
        <v>54</v>
      </c>
      <c r="C3">
        <v>67</v>
      </c>
      <c r="D3">
        <v>34</v>
      </c>
      <c r="E3">
        <v>54</v>
      </c>
      <c r="F3">
        <v>94</v>
      </c>
      <c r="G3">
        <v>55</v>
      </c>
      <c r="H3">
        <v>32</v>
      </c>
      <c r="I3">
        <v>45</v>
      </c>
      <c r="J3">
        <v>87</v>
      </c>
      <c r="K3">
        <v>64</v>
      </c>
      <c r="L3">
        <v>39</v>
      </c>
      <c r="M3">
        <v>60</v>
      </c>
      <c r="O3" s="26" t="s">
        <v>68</v>
      </c>
      <c r="P3" s="26" t="s">
        <v>69</v>
      </c>
      <c r="Q3" s="26" t="s">
        <v>70</v>
      </c>
      <c r="R3" s="26" t="s">
        <v>71</v>
      </c>
      <c r="T3" s="181" t="s">
        <v>69</v>
      </c>
      <c r="U3" s="181" t="s">
        <v>70</v>
      </c>
      <c r="V3" s="181" t="s">
        <v>328</v>
      </c>
      <c r="W3" s="181" t="s">
        <v>327</v>
      </c>
      <c r="Y3" s="181" t="s">
        <v>183</v>
      </c>
      <c r="Z3" s="181" t="s">
        <v>119</v>
      </c>
      <c r="AB3" s="181" t="s">
        <v>183</v>
      </c>
      <c r="AC3" s="181" t="s">
        <v>119</v>
      </c>
    </row>
    <row r="4" spans="1:29" x14ac:dyDescent="0.25">
      <c r="O4" s="27">
        <v>5</v>
      </c>
      <c r="P4" s="28">
        <v>94</v>
      </c>
      <c r="Q4" s="27">
        <v>1</v>
      </c>
      <c r="R4" s="29">
        <v>1</v>
      </c>
      <c r="T4" s="28">
        <v>94</v>
      </c>
      <c r="U4" s="27">
        <f t="shared" ref="U4:U15" si="0">RANK(T4,$T$4:$T$15)</f>
        <v>1</v>
      </c>
      <c r="V4" s="29">
        <f t="shared" ref="V4:V15" si="1">PERCENTRANK($T$4:$T$15,T4)</f>
        <v>1</v>
      </c>
      <c r="W4" s="29">
        <f t="shared" ref="W4:W15" si="2">_xlfn.PERCENTRANK.EXC($T$4:$T$15,T4)</f>
        <v>0.92300000000000004</v>
      </c>
      <c r="Y4" s="186">
        <v>0</v>
      </c>
      <c r="Z4" s="28">
        <f>PERCENTILE($B$3:$M$3,Y4)</f>
        <v>32</v>
      </c>
      <c r="AB4" s="186">
        <v>0</v>
      </c>
      <c r="AC4" s="28" t="e">
        <f>_xlfn.PERCENTILE.EXC($B$3:$M$3,AB4)</f>
        <v>#NUM!</v>
      </c>
    </row>
    <row r="5" spans="1:29" x14ac:dyDescent="0.25">
      <c r="O5" s="27">
        <v>9</v>
      </c>
      <c r="P5" s="28">
        <v>87</v>
      </c>
      <c r="Q5" s="27">
        <v>2</v>
      </c>
      <c r="R5" s="29">
        <v>0.90900000000000003</v>
      </c>
      <c r="T5" s="28">
        <v>87</v>
      </c>
      <c r="U5" s="27">
        <f t="shared" si="0"/>
        <v>2</v>
      </c>
      <c r="V5" s="29">
        <f t="shared" si="1"/>
        <v>0.90900000000000003</v>
      </c>
      <c r="W5" s="29">
        <f t="shared" si="2"/>
        <v>0.84599999999999997</v>
      </c>
      <c r="Y5" s="186">
        <f>Y4+0.1</f>
        <v>0.1</v>
      </c>
      <c r="Z5" s="28">
        <f t="shared" ref="Z5:Z14" si="3">PERCENTILE($B$3:$M$3,Y5)</f>
        <v>34.5</v>
      </c>
      <c r="AB5" s="186">
        <f>AB4+0.1</f>
        <v>0.1</v>
      </c>
      <c r="AC5" s="28">
        <f t="shared" ref="AC5:AC14" si="4">_xlfn.PERCENTILE.EXC($B$3:$M$3,AB5)</f>
        <v>32.6</v>
      </c>
    </row>
    <row r="6" spans="1:29" x14ac:dyDescent="0.25">
      <c r="O6" s="27">
        <v>2</v>
      </c>
      <c r="P6" s="28">
        <v>67</v>
      </c>
      <c r="Q6" s="27">
        <v>3</v>
      </c>
      <c r="R6" s="29">
        <v>0.81799999999999995</v>
      </c>
      <c r="T6" s="28">
        <v>67</v>
      </c>
      <c r="U6" s="27">
        <f t="shared" si="0"/>
        <v>3</v>
      </c>
      <c r="V6" s="29">
        <f t="shared" si="1"/>
        <v>0.81799999999999995</v>
      </c>
      <c r="W6" s="29">
        <f t="shared" si="2"/>
        <v>0.76900000000000002</v>
      </c>
      <c r="Y6" s="186">
        <f t="shared" ref="Y6:Y14" si="5">Y5+0.1</f>
        <v>0.2</v>
      </c>
      <c r="Z6" s="28">
        <f t="shared" si="3"/>
        <v>40.200000000000003</v>
      </c>
      <c r="AB6" s="186">
        <f t="shared" ref="AB6:AB14" si="6">AB5+0.1</f>
        <v>0.2</v>
      </c>
      <c r="AC6" s="28">
        <f t="shared" si="4"/>
        <v>37</v>
      </c>
    </row>
    <row r="7" spans="1:29" x14ac:dyDescent="0.25">
      <c r="O7" s="27">
        <v>10</v>
      </c>
      <c r="P7" s="28">
        <v>64</v>
      </c>
      <c r="Q7" s="27">
        <v>4</v>
      </c>
      <c r="R7" s="29">
        <v>0.72699999999999998</v>
      </c>
      <c r="T7" s="28">
        <v>64</v>
      </c>
      <c r="U7" s="27">
        <f t="shared" si="0"/>
        <v>4</v>
      </c>
      <c r="V7" s="29">
        <f t="shared" si="1"/>
        <v>0.72699999999999998</v>
      </c>
      <c r="W7" s="29">
        <f t="shared" si="2"/>
        <v>0.69199999999999995</v>
      </c>
      <c r="Y7" s="186">
        <f t="shared" si="5"/>
        <v>0.30000000000000004</v>
      </c>
      <c r="Z7" s="28">
        <f t="shared" si="3"/>
        <v>47.7</v>
      </c>
      <c r="AB7" s="186">
        <f t="shared" si="6"/>
        <v>0.30000000000000004</v>
      </c>
      <c r="AC7" s="28">
        <f t="shared" si="4"/>
        <v>44.400000000000006</v>
      </c>
    </row>
    <row r="8" spans="1:29" x14ac:dyDescent="0.25">
      <c r="O8" s="27">
        <v>12</v>
      </c>
      <c r="P8" s="28">
        <v>60</v>
      </c>
      <c r="Q8" s="27">
        <v>5</v>
      </c>
      <c r="R8" s="29">
        <v>0.63600000000000001</v>
      </c>
      <c r="T8" s="28">
        <v>60</v>
      </c>
      <c r="U8" s="27">
        <f t="shared" si="0"/>
        <v>5</v>
      </c>
      <c r="V8" s="29">
        <f t="shared" si="1"/>
        <v>0.63600000000000001</v>
      </c>
      <c r="W8" s="29">
        <f t="shared" si="2"/>
        <v>0.61499999999999999</v>
      </c>
      <c r="Y8" s="186">
        <f t="shared" si="5"/>
        <v>0.4</v>
      </c>
      <c r="Z8" s="28">
        <f t="shared" si="3"/>
        <v>54</v>
      </c>
      <c r="AB8" s="186">
        <f t="shared" si="6"/>
        <v>0.4</v>
      </c>
      <c r="AC8" s="28">
        <f t="shared" si="4"/>
        <v>54</v>
      </c>
    </row>
    <row r="9" spans="1:29" x14ac:dyDescent="0.25">
      <c r="O9" s="27">
        <v>6</v>
      </c>
      <c r="P9" s="28">
        <v>55</v>
      </c>
      <c r="Q9" s="27">
        <v>6</v>
      </c>
      <c r="R9" s="29">
        <v>0.54500000000000004</v>
      </c>
      <c r="T9" s="28">
        <v>55</v>
      </c>
      <c r="U9" s="27">
        <f t="shared" si="0"/>
        <v>6</v>
      </c>
      <c r="V9" s="29">
        <f t="shared" si="1"/>
        <v>0.54500000000000004</v>
      </c>
      <c r="W9" s="29">
        <f t="shared" si="2"/>
        <v>0.53800000000000003</v>
      </c>
      <c r="Y9" s="186">
        <f t="shared" si="5"/>
        <v>0.5</v>
      </c>
      <c r="Z9" s="28">
        <f t="shared" si="3"/>
        <v>54.5</v>
      </c>
      <c r="AB9" s="186">
        <f t="shared" si="6"/>
        <v>0.5</v>
      </c>
      <c r="AC9" s="28">
        <f t="shared" si="4"/>
        <v>54.5</v>
      </c>
    </row>
    <row r="10" spans="1:29" x14ac:dyDescent="0.25">
      <c r="O10" s="27">
        <v>1</v>
      </c>
      <c r="P10" s="28">
        <v>54</v>
      </c>
      <c r="Q10" s="27">
        <v>7</v>
      </c>
      <c r="R10" s="29">
        <v>0.36299999999999999</v>
      </c>
      <c r="T10" s="28">
        <v>54</v>
      </c>
      <c r="U10" s="27">
        <f t="shared" si="0"/>
        <v>7</v>
      </c>
      <c r="V10" s="29">
        <f t="shared" si="1"/>
        <v>0.36299999999999999</v>
      </c>
      <c r="W10" s="29">
        <f t="shared" si="2"/>
        <v>0.38400000000000001</v>
      </c>
      <c r="Y10" s="186">
        <f t="shared" si="5"/>
        <v>0.6</v>
      </c>
      <c r="Z10" s="28">
        <f t="shared" si="3"/>
        <v>58</v>
      </c>
      <c r="AB10" s="186">
        <f t="shared" si="6"/>
        <v>0.6</v>
      </c>
      <c r="AC10" s="28">
        <f t="shared" si="4"/>
        <v>59</v>
      </c>
    </row>
    <row r="11" spans="1:29" x14ac:dyDescent="0.25">
      <c r="O11" s="27">
        <v>4</v>
      </c>
      <c r="P11" s="28">
        <v>54</v>
      </c>
      <c r="Q11" s="27">
        <v>7</v>
      </c>
      <c r="R11" s="29">
        <v>0.36299999999999999</v>
      </c>
      <c r="T11" s="28">
        <v>54</v>
      </c>
      <c r="U11" s="27">
        <f t="shared" si="0"/>
        <v>7</v>
      </c>
      <c r="V11" s="29">
        <f t="shared" si="1"/>
        <v>0.36299999999999999</v>
      </c>
      <c r="W11" s="29">
        <f t="shared" si="2"/>
        <v>0.38400000000000001</v>
      </c>
      <c r="Y11" s="186">
        <f t="shared" si="5"/>
        <v>0.7</v>
      </c>
      <c r="Z11" s="28">
        <f t="shared" si="3"/>
        <v>62.8</v>
      </c>
      <c r="AB11" s="186">
        <f t="shared" si="6"/>
        <v>0.7</v>
      </c>
      <c r="AC11" s="28">
        <f t="shared" si="4"/>
        <v>64.3</v>
      </c>
    </row>
    <row r="12" spans="1:29" x14ac:dyDescent="0.25">
      <c r="O12" s="27">
        <v>8</v>
      </c>
      <c r="P12" s="28">
        <v>45</v>
      </c>
      <c r="Q12" s="27">
        <v>9</v>
      </c>
      <c r="R12" s="29">
        <v>0.27200000000000002</v>
      </c>
      <c r="T12" s="28">
        <v>45</v>
      </c>
      <c r="U12" s="27">
        <f t="shared" si="0"/>
        <v>9</v>
      </c>
      <c r="V12" s="29">
        <f t="shared" si="1"/>
        <v>0.27200000000000002</v>
      </c>
      <c r="W12" s="29">
        <f t="shared" si="2"/>
        <v>0.307</v>
      </c>
      <c r="Y12" s="186">
        <f t="shared" si="5"/>
        <v>0.79999999999999993</v>
      </c>
      <c r="Z12" s="28">
        <f t="shared" si="3"/>
        <v>66.399999999999991</v>
      </c>
      <c r="AB12" s="186">
        <f t="shared" si="6"/>
        <v>0.79999999999999993</v>
      </c>
      <c r="AC12" s="28">
        <f t="shared" si="4"/>
        <v>74.999999999999972</v>
      </c>
    </row>
    <row r="13" spans="1:29" x14ac:dyDescent="0.25">
      <c r="O13" s="27">
        <v>11</v>
      </c>
      <c r="P13" s="28">
        <v>39</v>
      </c>
      <c r="Q13" s="27">
        <v>10</v>
      </c>
      <c r="R13" s="29">
        <v>0.18099999999999999</v>
      </c>
      <c r="T13" s="28">
        <v>39</v>
      </c>
      <c r="U13" s="27">
        <f t="shared" si="0"/>
        <v>10</v>
      </c>
      <c r="V13" s="29">
        <f t="shared" si="1"/>
        <v>0.18099999999999999</v>
      </c>
      <c r="W13" s="29">
        <f t="shared" si="2"/>
        <v>0.23</v>
      </c>
      <c r="Y13" s="186">
        <f t="shared" si="5"/>
        <v>0.89999999999999991</v>
      </c>
      <c r="Z13" s="28">
        <f t="shared" si="3"/>
        <v>84.999999999999972</v>
      </c>
      <c r="AB13" s="186">
        <f t="shared" si="6"/>
        <v>0.89999999999999991</v>
      </c>
      <c r="AC13" s="28">
        <f t="shared" si="4"/>
        <v>91.899999999999991</v>
      </c>
    </row>
    <row r="14" spans="1:29" ht="15.75" thickBot="1" x14ac:dyDescent="0.3">
      <c r="O14" s="27">
        <v>3</v>
      </c>
      <c r="P14" s="28">
        <v>34</v>
      </c>
      <c r="Q14" s="27">
        <v>11</v>
      </c>
      <c r="R14" s="29">
        <v>0.09</v>
      </c>
      <c r="T14" s="28">
        <v>34</v>
      </c>
      <c r="U14" s="27">
        <f t="shared" si="0"/>
        <v>11</v>
      </c>
      <c r="V14" s="29">
        <f t="shared" si="1"/>
        <v>0.09</v>
      </c>
      <c r="W14" s="29">
        <f t="shared" si="2"/>
        <v>0.153</v>
      </c>
      <c r="Y14" s="187">
        <f t="shared" si="5"/>
        <v>0.99999999999999989</v>
      </c>
      <c r="Z14" s="31">
        <f t="shared" si="3"/>
        <v>93.999999999999986</v>
      </c>
      <c r="AB14" s="187">
        <f t="shared" si="6"/>
        <v>0.99999999999999989</v>
      </c>
      <c r="AC14" s="31" t="e">
        <f t="shared" si="4"/>
        <v>#NUM!</v>
      </c>
    </row>
    <row r="15" spans="1:29" ht="15.75" thickBot="1" x14ac:dyDescent="0.3">
      <c r="O15" s="30">
        <v>7</v>
      </c>
      <c r="P15" s="31">
        <v>32</v>
      </c>
      <c r="Q15" s="30">
        <v>12</v>
      </c>
      <c r="R15" s="32">
        <v>0</v>
      </c>
      <c r="T15" s="31">
        <v>32</v>
      </c>
      <c r="U15" s="31">
        <f t="shared" si="0"/>
        <v>12</v>
      </c>
      <c r="V15" s="32">
        <f t="shared" si="1"/>
        <v>0</v>
      </c>
      <c r="W15" s="32">
        <f t="shared" si="2"/>
        <v>7.5999999999999998E-2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I15"/>
  <sheetViews>
    <sheetView workbookViewId="0"/>
  </sheetViews>
  <sheetFormatPr defaultRowHeight="15" x14ac:dyDescent="0.25"/>
  <cols>
    <col min="3" max="3" width="4.42578125" customWidth="1"/>
    <col min="7" max="7" width="4.28515625" customWidth="1"/>
  </cols>
  <sheetData>
    <row r="1" spans="1:9" x14ac:dyDescent="0.25">
      <c r="A1" s="1" t="s">
        <v>509</v>
      </c>
    </row>
    <row r="3" spans="1:9" x14ac:dyDescent="0.25">
      <c r="A3" s="273" t="s">
        <v>510</v>
      </c>
      <c r="B3" s="273" t="s">
        <v>511</v>
      </c>
      <c r="D3" s="273" t="s">
        <v>512</v>
      </c>
      <c r="E3" s="273" t="s">
        <v>513</v>
      </c>
      <c r="F3" s="273" t="s">
        <v>514</v>
      </c>
    </row>
    <row r="4" spans="1:9" x14ac:dyDescent="0.25">
      <c r="A4" s="63">
        <v>34.1</v>
      </c>
      <c r="B4" s="63">
        <v>21.7</v>
      </c>
      <c r="D4" s="63">
        <f t="shared" ref="D4:D13" si="0">A4-B4</f>
        <v>12.400000000000002</v>
      </c>
      <c r="E4">
        <f>_xlfn.RANK.AVG(D4,D$4:D$13)</f>
        <v>1</v>
      </c>
      <c r="F4" t="e">
        <f ca="1">RANK_AVG(D4,D$4:D$13)</f>
        <v>#NAME?</v>
      </c>
      <c r="H4" t="e">
        <f t="array" aca="1" ref="H4:H13" ca="1">RANK_AVG(D4:D13,D4:D13)</f>
        <v>#NAME?</v>
      </c>
      <c r="I4" t="e">
        <f ca="1">RANK_AVG(D4,A$4:A$13-B$4:B$13)</f>
        <v>#NAME?</v>
      </c>
    </row>
    <row r="5" spans="1:9" x14ac:dyDescent="0.25">
      <c r="A5" s="63">
        <v>36.700000000000003</v>
      </c>
      <c r="B5" s="63">
        <v>31.2</v>
      </c>
      <c r="D5" s="63">
        <f t="shared" si="0"/>
        <v>5.5000000000000036</v>
      </c>
      <c r="E5">
        <f t="shared" ref="E5:E13" si="1">_xlfn.RANK.AVG(D5,D$4:D$13)</f>
        <v>5</v>
      </c>
      <c r="F5" t="e">
        <f ca="1">RANK_AVG(D5,D$4:D$13)</f>
        <v>#NAME?</v>
      </c>
      <c r="H5" t="e">
        <f ca="1"/>
        <v>#NAME?</v>
      </c>
      <c r="I5" t="e">
        <f t="array" aca="1" ref="I5" ca="1">RANK_AVG(D5,A$4:A$13-B$4:B$13)</f>
        <v>#NAME?</v>
      </c>
    </row>
    <row r="6" spans="1:9" x14ac:dyDescent="0.25">
      <c r="A6" s="63">
        <v>12.1</v>
      </c>
      <c r="B6" s="63">
        <v>15.9</v>
      </c>
      <c r="D6" s="63">
        <f t="shared" si="0"/>
        <v>-3.8000000000000007</v>
      </c>
      <c r="E6">
        <f t="shared" si="1"/>
        <v>10</v>
      </c>
      <c r="F6" t="e">
        <f ca="1">RANK_AVG(D6,D$4:D$13)</f>
        <v>#NAME?</v>
      </c>
      <c r="H6" t="e">
        <f ca="1"/>
        <v>#NAME?</v>
      </c>
      <c r="I6" t="e">
        <f t="array" aca="1" ref="I6" ca="1">RANK_AVG(D6,A$4:A$13-B$4:B$13)</f>
        <v>#NAME?</v>
      </c>
    </row>
    <row r="7" spans="1:9" x14ac:dyDescent="0.25">
      <c r="A7" s="63">
        <v>15.8</v>
      </c>
      <c r="B7" s="63">
        <v>11.3</v>
      </c>
      <c r="D7" s="63">
        <f t="shared" si="0"/>
        <v>4.5</v>
      </c>
      <c r="E7">
        <f t="shared" si="1"/>
        <v>8</v>
      </c>
      <c r="F7" t="e">
        <f ca="1">RANK_AVG(D7,D$4:D$13)</f>
        <v>#NAME?</v>
      </c>
      <c r="H7" t="e">
        <f ca="1"/>
        <v>#NAME?</v>
      </c>
      <c r="I7" t="e">
        <f t="array" aca="1" ref="I7" ca="1">RANK_AVG(D7,A$4:A$13-B$4:B$13)</f>
        <v>#NAME?</v>
      </c>
    </row>
    <row r="8" spans="1:9" x14ac:dyDescent="0.25">
      <c r="A8" s="63">
        <v>22.9</v>
      </c>
      <c r="B8" s="63">
        <v>17.399999999999999</v>
      </c>
      <c r="D8" s="63">
        <f t="shared" si="0"/>
        <v>5.5</v>
      </c>
      <c r="E8">
        <f t="shared" si="1"/>
        <v>6.5</v>
      </c>
      <c r="F8" t="e">
        <f ca="1">RANK_AVG(D8,D$4:D$13)</f>
        <v>#NAME?</v>
      </c>
      <c r="H8" t="e">
        <f ca="1"/>
        <v>#NAME?</v>
      </c>
      <c r="I8" t="e">
        <f t="array" aca="1" ref="I8" ca="1">RANK_AVG(D8,A$4:A$13-B$4:B$13)</f>
        <v>#NAME?</v>
      </c>
    </row>
    <row r="9" spans="1:9" x14ac:dyDescent="0.25">
      <c r="A9" s="63">
        <v>40</v>
      </c>
      <c r="B9" s="63">
        <v>30.4</v>
      </c>
      <c r="D9" s="63">
        <f t="shared" si="0"/>
        <v>9.6000000000000014</v>
      </c>
      <c r="E9">
        <f t="shared" si="1"/>
        <v>2</v>
      </c>
      <c r="F9" t="e">
        <f ca="1">RANK_AVG(D9,D$4:D$13)</f>
        <v>#NAME?</v>
      </c>
      <c r="H9" t="e">
        <f ca="1"/>
        <v>#NAME?</v>
      </c>
      <c r="I9" t="e">
        <f t="array" aca="1" ref="I9" ca="1">RANK_AVG(D9,A$4:A$13-B$4:B$13)</f>
        <v>#NAME?</v>
      </c>
    </row>
    <row r="10" spans="1:9" x14ac:dyDescent="0.25">
      <c r="A10" s="63">
        <v>22.9</v>
      </c>
      <c r="B10" s="63">
        <v>20.5</v>
      </c>
      <c r="D10" s="63">
        <f t="shared" si="0"/>
        <v>2.3999999999999986</v>
      </c>
      <c r="E10">
        <f t="shared" si="1"/>
        <v>9</v>
      </c>
      <c r="F10" t="e">
        <f ca="1">RANK_AVG(D10,D$4:D$13)</f>
        <v>#NAME?</v>
      </c>
      <c r="H10" t="e">
        <f ca="1"/>
        <v>#NAME?</v>
      </c>
      <c r="I10" t="e">
        <f t="array" aca="1" ref="I10" ca="1">RANK_AVG(D10,A$4:A$13-B$4:B$13)</f>
        <v>#NAME?</v>
      </c>
    </row>
    <row r="11" spans="1:9" x14ac:dyDescent="0.25">
      <c r="A11" s="63">
        <v>19.5</v>
      </c>
      <c r="B11" s="63">
        <v>10.199999999999999</v>
      </c>
      <c r="D11" s="63">
        <f t="shared" si="0"/>
        <v>9.3000000000000007</v>
      </c>
      <c r="E11">
        <f t="shared" si="1"/>
        <v>3</v>
      </c>
      <c r="F11" t="e">
        <f ca="1">RANK_AVG(D11,D$4:D$13)</f>
        <v>#NAME?</v>
      </c>
      <c r="H11" t="e">
        <f ca="1"/>
        <v>#NAME?</v>
      </c>
      <c r="I11" t="e">
        <f t="array" aca="1" ref="I11" ca="1">RANK_AVG(D11,A$4:A$13-B$4:B$13)</f>
        <v>#NAME?</v>
      </c>
    </row>
    <row r="12" spans="1:9" x14ac:dyDescent="0.25">
      <c r="A12" s="63">
        <v>28.8</v>
      </c>
      <c r="B12" s="63">
        <v>20</v>
      </c>
      <c r="D12" s="63">
        <f t="shared" si="0"/>
        <v>8.8000000000000007</v>
      </c>
      <c r="E12">
        <f t="shared" si="1"/>
        <v>4</v>
      </c>
      <c r="F12" t="e">
        <f ca="1">RANK_AVG(D12,D$4:D$13)</f>
        <v>#NAME?</v>
      </c>
      <c r="H12" t="e">
        <f ca="1"/>
        <v>#NAME?</v>
      </c>
      <c r="I12" t="e">
        <f t="array" aca="1" ref="I12" ca="1">RANK_AVG(D12,A$4:A$13-B$4:B$13)</f>
        <v>#NAME?</v>
      </c>
    </row>
    <row r="13" spans="1:9" x14ac:dyDescent="0.25">
      <c r="A13" s="280">
        <v>30.6</v>
      </c>
      <c r="B13" s="280">
        <v>25.1</v>
      </c>
      <c r="D13" s="280">
        <f t="shared" si="0"/>
        <v>5.5</v>
      </c>
      <c r="E13" s="162">
        <f t="shared" si="1"/>
        <v>6.5</v>
      </c>
      <c r="F13" s="162" t="e">
        <f ca="1">RANK_AVG(D13,D$4:D$13)</f>
        <v>#NAME?</v>
      </c>
      <c r="H13" t="e">
        <f ca="1"/>
        <v>#NAME?</v>
      </c>
      <c r="I13" t="e">
        <f t="array" aca="1" ref="I13" ca="1">RANK_AVG(D13,A$4:A$13-B$4:B$13)</f>
        <v>#NAME?</v>
      </c>
    </row>
    <row r="15" spans="1:9" x14ac:dyDescent="0.25">
      <c r="D15" s="279">
        <v>12.4</v>
      </c>
      <c r="E15" t="e">
        <f>_xlfn.RANK.AVG(D15,D$4:D$13)</f>
        <v>#N/A</v>
      </c>
      <c r="F15" t="e">
        <f ca="1">RANK_AVG(D15,D$4:D$13)</f>
        <v>#NAME?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2"/>
  <sheetViews>
    <sheetView workbookViewId="0"/>
  </sheetViews>
  <sheetFormatPr defaultRowHeight="15" x14ac:dyDescent="0.25"/>
  <cols>
    <col min="2" max="2" width="6.28515625" customWidth="1"/>
    <col min="3" max="3" width="20.5703125" customWidth="1"/>
    <col min="4" max="4" width="8.140625" customWidth="1"/>
    <col min="6" max="6" width="18.140625" customWidth="1"/>
    <col min="9" max="9" width="18.140625" customWidth="1"/>
    <col min="11" max="11" width="17.5703125" customWidth="1"/>
  </cols>
  <sheetData>
    <row r="1" spans="1:12" x14ac:dyDescent="0.25">
      <c r="A1" s="1" t="s">
        <v>72</v>
      </c>
    </row>
    <row r="2" spans="1:12" ht="15.75" thickBot="1" x14ac:dyDescent="0.3">
      <c r="K2" s="1" t="s">
        <v>425</v>
      </c>
    </row>
    <row r="3" spans="1:12" x14ac:dyDescent="0.25">
      <c r="A3" s="33" t="s">
        <v>69</v>
      </c>
      <c r="C3" s="34" t="s">
        <v>69</v>
      </c>
      <c r="D3" s="34"/>
      <c r="F3" s="1" t="s">
        <v>73</v>
      </c>
      <c r="I3" s="1" t="s">
        <v>74</v>
      </c>
    </row>
    <row r="4" spans="1:12" x14ac:dyDescent="0.25">
      <c r="A4" s="33">
        <v>23</v>
      </c>
      <c r="C4" s="27"/>
      <c r="D4" s="27"/>
      <c r="K4" s="35"/>
      <c r="L4" s="35" t="s">
        <v>69</v>
      </c>
    </row>
    <row r="5" spans="1:12" ht="18" x14ac:dyDescent="0.35">
      <c r="A5" s="33">
        <v>38</v>
      </c>
      <c r="C5" s="27" t="s">
        <v>75</v>
      </c>
      <c r="D5" s="27">
        <v>30.818181818181817</v>
      </c>
      <c r="F5" s="27" t="s">
        <v>75</v>
      </c>
      <c r="G5">
        <f>AVERAGE(A4:A14)</f>
        <v>30.818181818181817</v>
      </c>
      <c r="I5" s="33" t="s">
        <v>212</v>
      </c>
      <c r="K5" t="s">
        <v>75</v>
      </c>
      <c r="L5">
        <f>AVERAGE(A4:A14)</f>
        <v>30.818181818181817</v>
      </c>
    </row>
    <row r="6" spans="1:12" x14ac:dyDescent="0.25">
      <c r="A6" s="33">
        <v>45</v>
      </c>
      <c r="C6" s="27" t="s">
        <v>76</v>
      </c>
      <c r="D6" s="27">
        <v>4.931933387845862</v>
      </c>
      <c r="F6" s="27" t="s">
        <v>76</v>
      </c>
      <c r="G6">
        <f>G9/SQRT(G17)</f>
        <v>4.931933387845862</v>
      </c>
      <c r="I6" s="33">
        <f>ABS(A4-$G$7)</f>
        <v>0</v>
      </c>
      <c r="K6" t="s">
        <v>76</v>
      </c>
      <c r="L6">
        <f>STDEV(A4:A14)/SQRT(COUNT(A4:A14))</f>
        <v>4.931933387845862</v>
      </c>
    </row>
    <row r="7" spans="1:12" x14ac:dyDescent="0.25">
      <c r="A7" s="33">
        <v>21</v>
      </c>
      <c r="C7" s="27" t="s">
        <v>77</v>
      </c>
      <c r="D7" s="27">
        <v>23</v>
      </c>
      <c r="F7" s="27" t="s">
        <v>77</v>
      </c>
      <c r="G7">
        <f>MEDIAN(A4:A14)</f>
        <v>23</v>
      </c>
      <c r="I7" s="125">
        <f t="shared" ref="I7:I16" si="0">ABS(A5-$G$7)</f>
        <v>15</v>
      </c>
      <c r="K7" t="s">
        <v>77</v>
      </c>
      <c r="L7">
        <f>MEDIAN(A4:A14)</f>
        <v>23</v>
      </c>
    </row>
    <row r="8" spans="1:12" x14ac:dyDescent="0.25">
      <c r="A8" s="33">
        <v>17</v>
      </c>
      <c r="C8" s="27" t="s">
        <v>78</v>
      </c>
      <c r="D8" s="27">
        <v>21</v>
      </c>
      <c r="F8" s="27" t="s">
        <v>78</v>
      </c>
      <c r="G8">
        <f>MODE(A4:A14)</f>
        <v>21</v>
      </c>
      <c r="I8" s="125">
        <f t="shared" si="0"/>
        <v>22</v>
      </c>
      <c r="K8" t="s">
        <v>78</v>
      </c>
      <c r="L8">
        <f>MODE(A4:A14)</f>
        <v>21</v>
      </c>
    </row>
    <row r="9" spans="1:12" x14ac:dyDescent="0.25">
      <c r="A9" s="33">
        <v>21</v>
      </c>
      <c r="C9" s="27" t="s">
        <v>79</v>
      </c>
      <c r="D9" s="27">
        <v>16.357372538511079</v>
      </c>
      <c r="F9" s="27" t="s">
        <v>79</v>
      </c>
      <c r="G9">
        <f>STDEV(A4:A14)</f>
        <v>16.357372538511079</v>
      </c>
      <c r="I9" s="125">
        <f t="shared" si="0"/>
        <v>2</v>
      </c>
      <c r="K9" t="s">
        <v>79</v>
      </c>
      <c r="L9">
        <f>STDEV(A4:A14)</f>
        <v>16.357372538511079</v>
      </c>
    </row>
    <row r="10" spans="1:12" x14ac:dyDescent="0.25">
      <c r="A10" s="33">
        <v>8</v>
      </c>
      <c r="C10" s="27" t="s">
        <v>80</v>
      </c>
      <c r="D10" s="27">
        <v>267.56363636363642</v>
      </c>
      <c r="F10" s="27" t="s">
        <v>80</v>
      </c>
      <c r="G10">
        <f>VAR(A4:A14)</f>
        <v>267.56363636363642</v>
      </c>
      <c r="I10" s="125">
        <f t="shared" si="0"/>
        <v>6</v>
      </c>
      <c r="K10" t="s">
        <v>80</v>
      </c>
      <c r="L10">
        <f>VAR(A4:A14)</f>
        <v>267.56363636363642</v>
      </c>
    </row>
    <row r="11" spans="1:12" x14ac:dyDescent="0.25">
      <c r="A11" s="33">
        <v>61</v>
      </c>
      <c r="C11" s="27" t="s">
        <v>81</v>
      </c>
      <c r="D11" s="27">
        <v>-0.54713109260868453</v>
      </c>
      <c r="F11" s="27" t="s">
        <v>81</v>
      </c>
      <c r="G11">
        <f>KURT(A4:A14)</f>
        <v>-0.54713109260868453</v>
      </c>
      <c r="I11" s="125">
        <f t="shared" si="0"/>
        <v>2</v>
      </c>
      <c r="K11" t="s">
        <v>81</v>
      </c>
      <c r="L11">
        <f>KURT(A4:A14)</f>
        <v>-0.54713109260868453</v>
      </c>
    </row>
    <row r="12" spans="1:12" x14ac:dyDescent="0.25">
      <c r="A12" s="33">
        <v>21</v>
      </c>
      <c r="C12" s="27" t="s">
        <v>82</v>
      </c>
      <c r="D12" s="27">
        <v>0.62513875079366366</v>
      </c>
      <c r="F12" s="27" t="s">
        <v>82</v>
      </c>
      <c r="G12">
        <f>SKEW(A4:A14)</f>
        <v>0.62513875079366366</v>
      </c>
      <c r="I12" s="125">
        <f t="shared" si="0"/>
        <v>15</v>
      </c>
      <c r="K12" t="s">
        <v>82</v>
      </c>
      <c r="L12">
        <f>SKEW(A4:A14)</f>
        <v>0.62513875079366366</v>
      </c>
    </row>
    <row r="13" spans="1:12" x14ac:dyDescent="0.25">
      <c r="A13" s="33">
        <v>52</v>
      </c>
      <c r="C13" s="27" t="s">
        <v>83</v>
      </c>
      <c r="D13" s="27">
        <v>53</v>
      </c>
      <c r="F13" s="27" t="s">
        <v>83</v>
      </c>
      <c r="G13">
        <f>G15-G14</f>
        <v>53</v>
      </c>
      <c r="I13" s="125">
        <f t="shared" si="0"/>
        <v>38</v>
      </c>
      <c r="K13" t="s">
        <v>83</v>
      </c>
      <c r="L13">
        <f>L15-L14</f>
        <v>53</v>
      </c>
    </row>
    <row r="14" spans="1:12" x14ac:dyDescent="0.25">
      <c r="A14" s="33">
        <v>32</v>
      </c>
      <c r="C14" s="27" t="s">
        <v>84</v>
      </c>
      <c r="D14" s="27">
        <v>8</v>
      </c>
      <c r="F14" s="27" t="s">
        <v>84</v>
      </c>
      <c r="G14">
        <f>MIN(A4:A14)</f>
        <v>8</v>
      </c>
      <c r="I14" s="125">
        <f t="shared" si="0"/>
        <v>2</v>
      </c>
      <c r="K14" t="s">
        <v>84</v>
      </c>
      <c r="L14">
        <f>MIN(A4:A14)</f>
        <v>8</v>
      </c>
    </row>
    <row r="15" spans="1:12" x14ac:dyDescent="0.25">
      <c r="C15" s="27" t="s">
        <v>85</v>
      </c>
      <c r="D15" s="27">
        <v>61</v>
      </c>
      <c r="F15" s="27" t="s">
        <v>85</v>
      </c>
      <c r="G15">
        <f>MAX(A4:A14)</f>
        <v>61</v>
      </c>
      <c r="I15" s="125">
        <f t="shared" si="0"/>
        <v>29</v>
      </c>
      <c r="K15" t="s">
        <v>85</v>
      </c>
      <c r="L15">
        <f>MAX(A4:A14)</f>
        <v>61</v>
      </c>
    </row>
    <row r="16" spans="1:12" x14ac:dyDescent="0.25">
      <c r="C16" s="27" t="s">
        <v>86</v>
      </c>
      <c r="D16" s="27">
        <v>339</v>
      </c>
      <c r="F16" s="27" t="s">
        <v>86</v>
      </c>
      <c r="G16">
        <f>SUM(A4:A14)</f>
        <v>339</v>
      </c>
      <c r="I16" s="125">
        <f t="shared" si="0"/>
        <v>9</v>
      </c>
      <c r="K16" t="s">
        <v>86</v>
      </c>
      <c r="L16">
        <f>SUM(A4:A14)</f>
        <v>339</v>
      </c>
    </row>
    <row r="17" spans="3:16" ht="15.75" thickBot="1" x14ac:dyDescent="0.3">
      <c r="C17" s="30" t="s">
        <v>87</v>
      </c>
      <c r="D17" s="30">
        <v>11</v>
      </c>
      <c r="F17" s="30" t="s">
        <v>87</v>
      </c>
      <c r="G17" s="36">
        <f>COUNT(A4:A14)</f>
        <v>11</v>
      </c>
      <c r="K17" t="s">
        <v>87</v>
      </c>
      <c r="L17">
        <f>COUNT(A4:A14)</f>
        <v>11</v>
      </c>
    </row>
    <row r="18" spans="3:16" x14ac:dyDescent="0.25">
      <c r="F18" t="s">
        <v>88</v>
      </c>
      <c r="G18">
        <f>GEOMEAN(A4:A14)</f>
        <v>26.754716545631396</v>
      </c>
      <c r="K18" t="s">
        <v>33</v>
      </c>
      <c r="L18">
        <f>GEOMEAN(A4:A14)</f>
        <v>26.754716545631396</v>
      </c>
    </row>
    <row r="19" spans="3:16" x14ac:dyDescent="0.25">
      <c r="F19" t="s">
        <v>89</v>
      </c>
      <c r="G19">
        <f>HARMEAN(A4:A14)</f>
        <v>22.653734367228317</v>
      </c>
      <c r="K19" t="s">
        <v>90</v>
      </c>
      <c r="L19">
        <f>HARMEAN(A4:A14)</f>
        <v>22.653734367228317</v>
      </c>
      <c r="O19" s="198" t="s">
        <v>359</v>
      </c>
      <c r="P19" s="198" t="s">
        <v>360</v>
      </c>
    </row>
    <row r="20" spans="3:16" x14ac:dyDescent="0.25">
      <c r="F20" t="s">
        <v>91</v>
      </c>
      <c r="G20">
        <f>AVEDEV(A4:A14)</f>
        <v>13.438016528925619</v>
      </c>
      <c r="K20" t="s">
        <v>91</v>
      </c>
      <c r="L20">
        <f>AVEDEV(A4:A14)</f>
        <v>13.438016528925619</v>
      </c>
      <c r="N20" t="s">
        <v>134</v>
      </c>
      <c r="O20" s="196">
        <f>_xlfn.QUARTILE.INC(A4:A14,1)</f>
        <v>21</v>
      </c>
      <c r="P20" s="197">
        <f>_xlfn.QUARTILE.EXC(A4:A14,1)</f>
        <v>21</v>
      </c>
    </row>
    <row r="21" spans="3:16" x14ac:dyDescent="0.25">
      <c r="F21" t="s">
        <v>92</v>
      </c>
      <c r="G21">
        <f>MEDIAN(I6:I16)</f>
        <v>9</v>
      </c>
      <c r="K21" t="s">
        <v>92</v>
      </c>
      <c r="L21" t="e">
        <f ca="1">MAD(A4:A14)</f>
        <v>#NAME?</v>
      </c>
      <c r="N21" t="s">
        <v>189</v>
      </c>
      <c r="O21" s="92">
        <f>_xlfn.QUARTILE.INC(A4:A14,3)</f>
        <v>41.5</v>
      </c>
      <c r="P21" s="93">
        <f>_xlfn.QUARTILE.EXC(A4:A14,3)</f>
        <v>45</v>
      </c>
    </row>
    <row r="22" spans="3:16" x14ac:dyDescent="0.25">
      <c r="F22" t="s">
        <v>93</v>
      </c>
      <c r="G22">
        <f>QUARTILE(A4:A14,3)-QUARTILE(A4:A14,1)</f>
        <v>20.5</v>
      </c>
      <c r="K22" s="11" t="s">
        <v>93</v>
      </c>
      <c r="L22" s="11" t="e">
        <f ca="1">IQR(A4:A14)</f>
        <v>#NAME?</v>
      </c>
      <c r="N22" t="s">
        <v>93</v>
      </c>
      <c r="O22" s="80" t="e">
        <f ca="1">IQR(A4:A14)</f>
        <v>#NAME?</v>
      </c>
      <c r="P22" s="83" t="e">
        <f ca="1">IQR(A4:A14,TRUE)</f>
        <v>#NAME?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3"/>
  <sheetViews>
    <sheetView workbookViewId="0"/>
  </sheetViews>
  <sheetFormatPr defaultRowHeight="15" x14ac:dyDescent="0.25"/>
  <cols>
    <col min="1" max="1" width="8.7109375" customWidth="1"/>
    <col min="3" max="3" width="9.7109375" customWidth="1"/>
    <col min="4" max="4" width="20.85546875" customWidth="1"/>
    <col min="6" max="6" width="20.140625" customWidth="1"/>
    <col min="9" max="9" width="17.42578125" customWidth="1"/>
    <col min="13" max="13" width="18" customWidth="1"/>
  </cols>
  <sheetData>
    <row r="1" spans="1:15" x14ac:dyDescent="0.25">
      <c r="A1" s="1" t="s">
        <v>94</v>
      </c>
      <c r="I1" t="s">
        <v>426</v>
      </c>
      <c r="M1" t="s">
        <v>427</v>
      </c>
    </row>
    <row r="3" spans="1:15" s="1" customFormat="1" x14ac:dyDescent="0.25">
      <c r="A3" s="1" t="s">
        <v>95</v>
      </c>
      <c r="I3" s="1" t="s">
        <v>94</v>
      </c>
      <c r="M3" s="1" t="s">
        <v>94</v>
      </c>
    </row>
    <row r="4" spans="1:15" ht="15.75" thickBot="1" x14ac:dyDescent="0.3"/>
    <row r="5" spans="1:15" x14ac:dyDescent="0.25">
      <c r="A5" s="35" t="s">
        <v>96</v>
      </c>
      <c r="B5" s="35" t="s">
        <v>97</v>
      </c>
      <c r="D5" s="26" t="s">
        <v>96</v>
      </c>
      <c r="E5" s="26"/>
      <c r="F5" s="26" t="s">
        <v>97</v>
      </c>
      <c r="G5" s="26"/>
      <c r="I5" s="35"/>
      <c r="J5" s="35" t="s">
        <v>96</v>
      </c>
      <c r="K5" s="35" t="s">
        <v>97</v>
      </c>
      <c r="M5" s="199"/>
      <c r="N5" s="199" t="str">
        <f>A5</f>
        <v>Sample 1</v>
      </c>
      <c r="O5" s="199" t="str">
        <f>B5</f>
        <v>Sample 2</v>
      </c>
    </row>
    <row r="6" spans="1:15" x14ac:dyDescent="0.25">
      <c r="A6" s="33">
        <v>19</v>
      </c>
      <c r="B6" s="33">
        <v>12</v>
      </c>
      <c r="D6" s="27"/>
      <c r="E6" s="27"/>
      <c r="F6" s="27"/>
      <c r="G6" s="27"/>
      <c r="I6" t="s">
        <v>75</v>
      </c>
      <c r="J6">
        <f>AVERAGE(A6:A18)</f>
        <v>30.46153846153846</v>
      </c>
      <c r="K6">
        <f>AVERAGE(B6:B18)</f>
        <v>30.615384615384617</v>
      </c>
      <c r="M6" t="s">
        <v>75</v>
      </c>
      <c r="N6">
        <f>AVERAGE(A6:A18)</f>
        <v>30.46153846153846</v>
      </c>
      <c r="O6">
        <f>AVERAGE(B6:B18)</f>
        <v>30.615384615384617</v>
      </c>
    </row>
    <row r="7" spans="1:15" x14ac:dyDescent="0.25">
      <c r="A7" s="33">
        <v>41</v>
      </c>
      <c r="B7" s="33">
        <v>27</v>
      </c>
      <c r="D7" s="27" t="s">
        <v>75</v>
      </c>
      <c r="E7" s="27">
        <v>30.46153846153846</v>
      </c>
      <c r="F7" s="27" t="s">
        <v>75</v>
      </c>
      <c r="G7" s="27">
        <v>30.615384615384617</v>
      </c>
      <c r="I7" t="s">
        <v>76</v>
      </c>
      <c r="J7">
        <f>STDEV(A6:A18)/SQRT(COUNT(A6:A18))</f>
        <v>4.6734594124357631</v>
      </c>
      <c r="K7">
        <f>STDEV(B6:B18)/SQRT(COUNT(B6:B18))</f>
        <v>5.4473452267800937</v>
      </c>
      <c r="M7" t="s">
        <v>76</v>
      </c>
      <c r="N7">
        <f>STDEV(A6:A18)/SQRT(COUNT(A6:A18))</f>
        <v>4.6734594124357631</v>
      </c>
      <c r="O7">
        <f>STDEV(B6:B18)/SQRT(COUNT(B6:B18))</f>
        <v>5.4473452267800937</v>
      </c>
    </row>
    <row r="8" spans="1:15" x14ac:dyDescent="0.25">
      <c r="A8" s="33">
        <v>29</v>
      </c>
      <c r="B8" s="33">
        <v>18</v>
      </c>
      <c r="D8" s="27" t="s">
        <v>76</v>
      </c>
      <c r="E8" s="27">
        <v>4.6734594124357631</v>
      </c>
      <c r="F8" s="27" t="s">
        <v>76</v>
      </c>
      <c r="G8" s="27">
        <v>5.4473452267800937</v>
      </c>
      <c r="I8" t="s">
        <v>77</v>
      </c>
      <c r="J8">
        <f>MEDIAN(A6:A18)</f>
        <v>29</v>
      </c>
      <c r="K8">
        <f>MEDIAN(B6:B18)</f>
        <v>27</v>
      </c>
      <c r="M8" t="s">
        <v>77</v>
      </c>
      <c r="N8">
        <f>MEDIAN(A6:A18)</f>
        <v>29</v>
      </c>
      <c r="O8">
        <f>MEDIAN(B6:B18)</f>
        <v>27</v>
      </c>
    </row>
    <row r="9" spans="1:15" x14ac:dyDescent="0.25">
      <c r="A9" s="33">
        <v>18</v>
      </c>
      <c r="B9" s="33">
        <v>23</v>
      </c>
      <c r="D9" s="27" t="s">
        <v>77</v>
      </c>
      <c r="E9" s="27">
        <v>29</v>
      </c>
      <c r="F9" s="27" t="s">
        <v>77</v>
      </c>
      <c r="G9" s="27">
        <v>27</v>
      </c>
      <c r="I9" t="s">
        <v>78</v>
      </c>
      <c r="J9">
        <f>MODE(A6:A18)</f>
        <v>29</v>
      </c>
      <c r="K9">
        <f>MODE(B6:B18)</f>
        <v>27</v>
      </c>
      <c r="M9" t="s">
        <v>78</v>
      </c>
      <c r="N9">
        <f>MODE(A6:A18)</f>
        <v>29</v>
      </c>
      <c r="O9">
        <f>MODE(B6:B18)</f>
        <v>27</v>
      </c>
    </row>
    <row r="10" spans="1:15" x14ac:dyDescent="0.25">
      <c r="A10" s="33">
        <v>8</v>
      </c>
      <c r="B10" s="33">
        <v>72</v>
      </c>
      <c r="D10" s="27" t="s">
        <v>78</v>
      </c>
      <c r="E10" s="27">
        <v>29</v>
      </c>
      <c r="F10" s="27" t="s">
        <v>78</v>
      </c>
      <c r="G10" s="27">
        <v>27</v>
      </c>
      <c r="I10" t="s">
        <v>79</v>
      </c>
      <c r="J10">
        <f>STDEV(A6:A18)</f>
        <v>16.85039754533695</v>
      </c>
      <c r="K10">
        <f>STDEV(B6:B18)</f>
        <v>19.64068253030964</v>
      </c>
      <c r="M10" t="s">
        <v>79</v>
      </c>
      <c r="N10">
        <f>STDEV(A6:A18)</f>
        <v>16.85039754533695</v>
      </c>
      <c r="O10">
        <f>STDEV(B6:B18)</f>
        <v>19.64068253030964</v>
      </c>
    </row>
    <row r="11" spans="1:15" x14ac:dyDescent="0.25">
      <c r="A11" s="33">
        <v>29</v>
      </c>
      <c r="B11" s="33">
        <v>27</v>
      </c>
      <c r="D11" s="27" t="s">
        <v>79</v>
      </c>
      <c r="E11" s="27">
        <v>16.85039754533695</v>
      </c>
      <c r="F11" s="27" t="s">
        <v>79</v>
      </c>
      <c r="G11" s="27">
        <v>19.64068253030964</v>
      </c>
      <c r="I11" t="s">
        <v>80</v>
      </c>
      <c r="J11">
        <f>VAR(A6:A18)</f>
        <v>283.93589743589746</v>
      </c>
      <c r="K11">
        <f>VAR(B6:B18)</f>
        <v>385.75641025641033</v>
      </c>
      <c r="M11" t="s">
        <v>80</v>
      </c>
      <c r="N11">
        <f>VAR(A6:A18)</f>
        <v>283.93589743589746</v>
      </c>
      <c r="O11">
        <f>VAR(B6:B18)</f>
        <v>385.75641025641033</v>
      </c>
    </row>
    <row r="12" spans="1:15" x14ac:dyDescent="0.25">
      <c r="A12" s="33">
        <v>11</v>
      </c>
      <c r="B12" s="33">
        <v>27</v>
      </c>
      <c r="D12" s="27" t="s">
        <v>80</v>
      </c>
      <c r="E12" s="27">
        <v>283.93589743589746</v>
      </c>
      <c r="F12" s="27" t="s">
        <v>80</v>
      </c>
      <c r="G12" s="27">
        <v>385.75641025641033</v>
      </c>
      <c r="I12" t="s">
        <v>81</v>
      </c>
      <c r="J12">
        <f>KURT(A6:A18)</f>
        <v>-1.1507308047969098</v>
      </c>
      <c r="K12">
        <f>KURT(B6:B18)</f>
        <v>6.28405897369122E-2</v>
      </c>
      <c r="M12" t="s">
        <v>81</v>
      </c>
      <c r="N12">
        <f>KURT(A6:A18)</f>
        <v>-1.1507308047969098</v>
      </c>
      <c r="O12">
        <f>KURT(B6:B18)</f>
        <v>6.28405897369122E-2</v>
      </c>
    </row>
    <row r="13" spans="1:15" x14ac:dyDescent="0.25">
      <c r="A13" s="33">
        <v>59</v>
      </c>
      <c r="B13" s="33">
        <v>53</v>
      </c>
      <c r="D13" s="27" t="s">
        <v>81</v>
      </c>
      <c r="E13" s="27">
        <v>-1.1507308047969098</v>
      </c>
      <c r="F13" s="27" t="s">
        <v>81</v>
      </c>
      <c r="G13" s="27">
        <v>6.28405897369122E-2</v>
      </c>
      <c r="I13" t="s">
        <v>82</v>
      </c>
      <c r="J13">
        <f>SKEW(A6:A18)</f>
        <v>0.26560133977590394</v>
      </c>
      <c r="K13">
        <f>SKEW(B6:B18)</f>
        <v>0.78697965196289232</v>
      </c>
      <c r="M13" t="s">
        <v>82</v>
      </c>
      <c r="N13">
        <f>SKEW(A6:A18)</f>
        <v>0.26560133977590394</v>
      </c>
      <c r="O13">
        <f>SKEW(B6:B18)</f>
        <v>0.78697965196289232</v>
      </c>
    </row>
    <row r="14" spans="1:15" x14ac:dyDescent="0.25">
      <c r="A14" s="33">
        <v>41</v>
      </c>
      <c r="B14" s="33">
        <v>3</v>
      </c>
      <c r="D14" s="27" t="s">
        <v>82</v>
      </c>
      <c r="E14" s="27">
        <v>0.26560133977590394</v>
      </c>
      <c r="F14" s="27" t="s">
        <v>82</v>
      </c>
      <c r="G14" s="27">
        <v>0.78697965196289232</v>
      </c>
      <c r="I14" t="s">
        <v>83</v>
      </c>
      <c r="J14">
        <f>J16-J15</f>
        <v>51</v>
      </c>
      <c r="K14">
        <f>K16-K15</f>
        <v>69</v>
      </c>
      <c r="M14" t="s">
        <v>83</v>
      </c>
      <c r="N14">
        <f>N15-N16</f>
        <v>51</v>
      </c>
      <c r="O14">
        <f>O15-O16</f>
        <v>69</v>
      </c>
    </row>
    <row r="15" spans="1:15" x14ac:dyDescent="0.25">
      <c r="A15" s="33">
        <v>48</v>
      </c>
      <c r="B15" s="33">
        <v>45</v>
      </c>
      <c r="D15" s="27" t="s">
        <v>83</v>
      </c>
      <c r="E15" s="27">
        <v>51</v>
      </c>
      <c r="F15" s="27" t="s">
        <v>83</v>
      </c>
      <c r="G15" s="27">
        <v>69</v>
      </c>
      <c r="I15" t="s">
        <v>84</v>
      </c>
      <c r="J15">
        <f>MIN(A6:A18)</f>
        <v>8</v>
      </c>
      <c r="K15">
        <f>MIN(B6:B18)</f>
        <v>3</v>
      </c>
      <c r="M15" t="s">
        <v>85</v>
      </c>
      <c r="N15">
        <f>MAX(A6:A18)</f>
        <v>59</v>
      </c>
      <c r="O15">
        <f>MAX(B6:B18)</f>
        <v>72</v>
      </c>
    </row>
    <row r="16" spans="1:15" x14ac:dyDescent="0.25">
      <c r="A16" s="33">
        <v>53</v>
      </c>
      <c r="B16" s="33">
        <v>53</v>
      </c>
      <c r="D16" s="27" t="s">
        <v>84</v>
      </c>
      <c r="E16" s="27">
        <v>8</v>
      </c>
      <c r="F16" s="27" t="s">
        <v>84</v>
      </c>
      <c r="G16" s="27">
        <v>3</v>
      </c>
      <c r="I16" t="s">
        <v>85</v>
      </c>
      <c r="J16">
        <f>MAX(A6:A18)</f>
        <v>59</v>
      </c>
      <c r="K16">
        <f>MAX(B6:B18)</f>
        <v>72</v>
      </c>
      <c r="M16" t="s">
        <v>84</v>
      </c>
      <c r="N16">
        <f>MIN(A6:A18)</f>
        <v>8</v>
      </c>
      <c r="O16">
        <f>MIN(B6:B18)</f>
        <v>3</v>
      </c>
    </row>
    <row r="17" spans="1:15" x14ac:dyDescent="0.25">
      <c r="A17" s="33">
        <v>29</v>
      </c>
      <c r="B17" s="33">
        <v>13</v>
      </c>
      <c r="D17" s="27" t="s">
        <v>85</v>
      </c>
      <c r="E17" s="27">
        <v>59</v>
      </c>
      <c r="F17" s="27" t="s">
        <v>85</v>
      </c>
      <c r="G17" s="27">
        <v>72</v>
      </c>
      <c r="I17" t="s">
        <v>86</v>
      </c>
      <c r="J17">
        <f>SUM(A6:A18)</f>
        <v>396</v>
      </c>
      <c r="K17">
        <f>SUM(B6:B18)</f>
        <v>398</v>
      </c>
      <c r="M17" t="s">
        <v>86</v>
      </c>
      <c r="N17">
        <f>SUM(A6:A18)</f>
        <v>396</v>
      </c>
      <c r="O17">
        <f>SUM(B6:B18)</f>
        <v>398</v>
      </c>
    </row>
    <row r="18" spans="1:15" x14ac:dyDescent="0.25">
      <c r="A18" s="183">
        <v>11</v>
      </c>
      <c r="B18" s="183">
        <v>25</v>
      </c>
      <c r="D18" s="27" t="s">
        <v>86</v>
      </c>
      <c r="E18" s="27">
        <v>396</v>
      </c>
      <c r="F18" s="27" t="s">
        <v>86</v>
      </c>
      <c r="G18" s="27">
        <v>398</v>
      </c>
      <c r="I18" t="s">
        <v>87</v>
      </c>
      <c r="J18">
        <f>COUNT(A6:A18)</f>
        <v>13</v>
      </c>
      <c r="K18">
        <f>COUNT(B6:B18)</f>
        <v>13</v>
      </c>
      <c r="M18" t="s">
        <v>87</v>
      </c>
      <c r="N18">
        <f>COUNT(A6:A18)</f>
        <v>13</v>
      </c>
      <c r="O18">
        <f>COUNT(B6:B18)</f>
        <v>13</v>
      </c>
    </row>
    <row r="19" spans="1:15" ht="15.75" thickBot="1" x14ac:dyDescent="0.3">
      <c r="D19" s="30" t="s">
        <v>87</v>
      </c>
      <c r="E19" s="30">
        <v>13</v>
      </c>
      <c r="F19" s="30" t="s">
        <v>87</v>
      </c>
      <c r="G19" s="30">
        <v>13</v>
      </c>
      <c r="I19" t="s">
        <v>33</v>
      </c>
      <c r="J19">
        <f>GEOMEAN(A6:A18)</f>
        <v>25.608674447554829</v>
      </c>
      <c r="K19">
        <f>GEOMEAN(B6:B18)</f>
        <v>23.981422579554366</v>
      </c>
      <c r="M19" t="s">
        <v>33</v>
      </c>
      <c r="N19">
        <f>GEOMEAN(A6:A18)</f>
        <v>25.608674447554829</v>
      </c>
      <c r="O19">
        <f>GEOMEAN(B6:B18)</f>
        <v>23.981422579554366</v>
      </c>
    </row>
    <row r="20" spans="1:15" x14ac:dyDescent="0.25">
      <c r="I20" t="s">
        <v>90</v>
      </c>
      <c r="J20">
        <f>HARMEAN(A6:A18)</f>
        <v>20.837190537996147</v>
      </c>
      <c r="K20">
        <f>HARMEAN(B6:B18)</f>
        <v>15.900552926353798</v>
      </c>
      <c r="M20" t="s">
        <v>90</v>
      </c>
      <c r="N20">
        <f>HARMEAN(A6:A18)</f>
        <v>20.837190537996147</v>
      </c>
      <c r="O20">
        <f>HARMEAN(B6:B18)</f>
        <v>15.900552926353798</v>
      </c>
    </row>
    <row r="21" spans="1:15" x14ac:dyDescent="0.25">
      <c r="I21" t="s">
        <v>91</v>
      </c>
      <c r="J21">
        <f>AVEDEV(A6:A18)</f>
        <v>13.798816568047338</v>
      </c>
      <c r="K21">
        <f>AVEDEV(B6:B18)</f>
        <v>15.467455621301777</v>
      </c>
      <c r="M21" t="s">
        <v>91</v>
      </c>
      <c r="N21">
        <f>AVEDEV(A6:A18)</f>
        <v>13.798816568047338</v>
      </c>
      <c r="O21">
        <f>AVEDEV(B6:B18)</f>
        <v>15.467455621301777</v>
      </c>
    </row>
    <row r="22" spans="1:15" x14ac:dyDescent="0.25">
      <c r="I22" t="s">
        <v>92</v>
      </c>
      <c r="J22" t="e">
        <f ca="1">MAD(A6:A18)</f>
        <v>#NAME?</v>
      </c>
      <c r="K22" t="e">
        <f ca="1">MAD(B6:B18)</f>
        <v>#NAME?</v>
      </c>
      <c r="M22" t="s">
        <v>92</v>
      </c>
      <c r="N22" t="e">
        <f ca="1">MAD(A6:A18)</f>
        <v>#NAME?</v>
      </c>
      <c r="O22" t="e">
        <f ca="1">MAD(B6:B18)</f>
        <v>#NAME?</v>
      </c>
    </row>
    <row r="23" spans="1:15" x14ac:dyDescent="0.25">
      <c r="I23" s="11" t="s">
        <v>93</v>
      </c>
      <c r="J23" s="11" t="e">
        <f ca="1">IQR(A6:A18)</f>
        <v>#NAME?</v>
      </c>
      <c r="K23" s="11" t="e">
        <f ca="1">IQR(B6:B18)</f>
        <v>#NAME?</v>
      </c>
      <c r="M23" s="162" t="s">
        <v>93</v>
      </c>
      <c r="N23" s="162" t="e">
        <f ca="1">IQR(A6:A18,TRUE)</f>
        <v>#NAME?</v>
      </c>
      <c r="O23" s="162" t="e">
        <f ca="1">IQR(B6:B18,TRUE)</f>
        <v>#NAME?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5"/>
  <sheetViews>
    <sheetView workbookViewId="0"/>
  </sheetViews>
  <sheetFormatPr defaultRowHeight="15" x14ac:dyDescent="0.25"/>
  <cols>
    <col min="1" max="1" width="6.42578125" customWidth="1"/>
    <col min="2" max="2" width="6.85546875" customWidth="1"/>
    <col min="3" max="4" width="6.7109375" customWidth="1"/>
    <col min="6" max="7" width="6.140625" customWidth="1"/>
    <col min="8" max="9" width="6.28515625" customWidth="1"/>
    <col min="10" max="10" width="3.140625" customWidth="1"/>
    <col min="12" max="12" width="2.85546875" customWidth="1"/>
    <col min="13" max="13" width="64.7109375" customWidth="1"/>
    <col min="17" max="22" width="6.28515625" style="108" customWidth="1"/>
  </cols>
  <sheetData>
    <row r="1" spans="1:22" x14ac:dyDescent="0.25">
      <c r="A1" s="1" t="s">
        <v>98</v>
      </c>
    </row>
    <row r="3" spans="1:22" ht="17.25" x14ac:dyDescent="0.25">
      <c r="A3" s="115" t="s">
        <v>358</v>
      </c>
      <c r="C3" s="115" t="s">
        <v>28</v>
      </c>
      <c r="D3" s="115" t="s">
        <v>99</v>
      </c>
      <c r="F3" s="106" t="s">
        <v>28</v>
      </c>
      <c r="G3" s="56" t="s">
        <v>32</v>
      </c>
      <c r="H3" s="106" t="s">
        <v>100</v>
      </c>
      <c r="I3" s="107" t="s">
        <v>101</v>
      </c>
      <c r="J3" s="270"/>
      <c r="Q3" s="106" t="s">
        <v>102</v>
      </c>
      <c r="R3" s="47" t="s">
        <v>103</v>
      </c>
      <c r="S3" s="56" t="s">
        <v>32</v>
      </c>
      <c r="T3" s="106" t="s">
        <v>104</v>
      </c>
      <c r="U3" s="106" t="s">
        <v>100</v>
      </c>
      <c r="V3" s="107" t="s">
        <v>101</v>
      </c>
    </row>
    <row r="4" spans="1:22" x14ac:dyDescent="0.25">
      <c r="A4" s="8">
        <v>2</v>
      </c>
      <c r="C4" s="8">
        <v>2</v>
      </c>
      <c r="D4" s="8">
        <v>4</v>
      </c>
      <c r="F4" s="49">
        <v>2</v>
      </c>
      <c r="G4" s="109">
        <v>4</v>
      </c>
      <c r="H4" s="49">
        <f>F4*G4</f>
        <v>8</v>
      </c>
      <c r="I4" s="50">
        <f>F4^2*G4</f>
        <v>16</v>
      </c>
      <c r="J4" s="270"/>
      <c r="N4" t="s">
        <v>63</v>
      </c>
      <c r="O4" s="84">
        <f>AVERAGE(A4:A11)</f>
        <v>3</v>
      </c>
      <c r="Q4" s="49">
        <v>0</v>
      </c>
      <c r="R4" s="61">
        <v>4</v>
      </c>
      <c r="S4" s="109">
        <v>3</v>
      </c>
      <c r="T4" s="49">
        <f>(Q4+R4)/2</f>
        <v>2</v>
      </c>
      <c r="U4" s="49">
        <f>T4*S4</f>
        <v>6</v>
      </c>
      <c r="V4" s="50">
        <f>T4^2*S4</f>
        <v>12</v>
      </c>
    </row>
    <row r="5" spans="1:22" x14ac:dyDescent="0.25">
      <c r="A5" s="8">
        <v>2</v>
      </c>
      <c r="C5" s="8">
        <v>3</v>
      </c>
      <c r="D5" s="8">
        <v>1</v>
      </c>
      <c r="F5" s="49">
        <v>3</v>
      </c>
      <c r="G5" s="109">
        <v>1</v>
      </c>
      <c r="H5" s="49">
        <f>F5*G5</f>
        <v>3</v>
      </c>
      <c r="I5" s="50">
        <f>F5^2*G5</f>
        <v>9</v>
      </c>
      <c r="J5" s="270"/>
      <c r="N5" t="s">
        <v>65</v>
      </c>
      <c r="O5" s="91">
        <f>VAR(A4:A11)</f>
        <v>1.4285714285714286</v>
      </c>
      <c r="Q5" s="49">
        <v>4</v>
      </c>
      <c r="R5" s="61">
        <v>10</v>
      </c>
      <c r="S5" s="109">
        <v>1</v>
      </c>
      <c r="T5" s="49">
        <f>(Q5+R5)/2</f>
        <v>7</v>
      </c>
      <c r="U5" s="49">
        <f>T5*S5</f>
        <v>7</v>
      </c>
      <c r="V5" s="50">
        <f>T5^2*S5</f>
        <v>49</v>
      </c>
    </row>
    <row r="6" spans="1:22" x14ac:dyDescent="0.25">
      <c r="A6" s="8">
        <v>2</v>
      </c>
      <c r="C6" s="8">
        <v>4</v>
      </c>
      <c r="D6" s="8">
        <v>2</v>
      </c>
      <c r="F6" s="49">
        <v>4</v>
      </c>
      <c r="G6" s="109">
        <v>2</v>
      </c>
      <c r="H6" s="49">
        <f>F6*G6</f>
        <v>8</v>
      </c>
      <c r="I6" s="50">
        <f>F6^2*G6</f>
        <v>32</v>
      </c>
      <c r="J6" s="270"/>
      <c r="N6" t="s">
        <v>181</v>
      </c>
      <c r="O6" s="85">
        <f>SUMSQ(A4:A11)</f>
        <v>82</v>
      </c>
      <c r="Q6" s="49">
        <v>10</v>
      </c>
      <c r="R6" s="61">
        <v>20</v>
      </c>
      <c r="S6" s="109">
        <v>2</v>
      </c>
      <c r="T6" s="49">
        <f>(Q6+R6)/2</f>
        <v>15</v>
      </c>
      <c r="U6" s="49">
        <f>T6*S6</f>
        <v>30</v>
      </c>
      <c r="V6" s="50">
        <f>T6^2*S6</f>
        <v>450</v>
      </c>
    </row>
    <row r="7" spans="1:22" x14ac:dyDescent="0.25">
      <c r="A7" s="8">
        <v>2</v>
      </c>
      <c r="C7" s="162">
        <v>5</v>
      </c>
      <c r="D7" s="162">
        <v>1</v>
      </c>
      <c r="F7" s="51">
        <v>5</v>
      </c>
      <c r="G7" s="110">
        <v>1</v>
      </c>
      <c r="H7" s="51">
        <f>F7*G7</f>
        <v>5</v>
      </c>
      <c r="I7" s="52">
        <f>F7^2*G7</f>
        <v>25</v>
      </c>
      <c r="J7" s="270"/>
      <c r="Q7" s="51">
        <v>20</v>
      </c>
      <c r="R7" s="112">
        <v>30</v>
      </c>
      <c r="S7" s="110">
        <v>1</v>
      </c>
      <c r="T7" s="51">
        <f>(Q7+R7)/2</f>
        <v>25</v>
      </c>
      <c r="U7" s="51">
        <f>T7*S7</f>
        <v>25</v>
      </c>
      <c r="V7" s="52">
        <f>T7^2*S7</f>
        <v>625</v>
      </c>
    </row>
    <row r="8" spans="1:22" x14ac:dyDescent="0.25">
      <c r="A8" s="8">
        <v>3</v>
      </c>
      <c r="F8" s="108"/>
      <c r="G8" s="108">
        <f>SUM(G4:G7)</f>
        <v>8</v>
      </c>
      <c r="H8" s="108">
        <f>SUM(H4:H7)</f>
        <v>24</v>
      </c>
      <c r="I8" s="108">
        <f>SUM(I4:I7)</f>
        <v>82</v>
      </c>
      <c r="J8" s="269"/>
      <c r="S8" s="108">
        <f>SUM(S4:S7)</f>
        <v>7</v>
      </c>
      <c r="U8" s="108">
        <f>SUM(U4:U7)</f>
        <v>68</v>
      </c>
      <c r="V8" s="108">
        <f>SUM(V4:V7)</f>
        <v>1136</v>
      </c>
    </row>
    <row r="9" spans="1:22" x14ac:dyDescent="0.25">
      <c r="A9" s="8">
        <v>4</v>
      </c>
      <c r="C9" t="s">
        <v>31</v>
      </c>
      <c r="F9" s="108"/>
      <c r="G9" s="108"/>
      <c r="H9" s="108"/>
      <c r="I9" s="108"/>
      <c r="J9" s="269"/>
    </row>
    <row r="10" spans="1:22" x14ac:dyDescent="0.25">
      <c r="A10" s="8">
        <v>4</v>
      </c>
      <c r="F10" s="110" t="s">
        <v>199</v>
      </c>
      <c r="G10" s="110" t="s">
        <v>105</v>
      </c>
      <c r="H10" s="110" t="s">
        <v>184</v>
      </c>
      <c r="I10" s="108"/>
      <c r="J10" s="269"/>
      <c r="Q10" s="110" t="s">
        <v>199</v>
      </c>
      <c r="R10" s="110" t="s">
        <v>105</v>
      </c>
      <c r="S10" s="110" t="s">
        <v>184</v>
      </c>
    </row>
    <row r="11" spans="1:22" x14ac:dyDescent="0.25">
      <c r="A11" s="162">
        <v>5</v>
      </c>
      <c r="C11" s="115" t="s">
        <v>28</v>
      </c>
      <c r="D11" s="115" t="s">
        <v>29</v>
      </c>
      <c r="F11" s="108">
        <f>H8</f>
        <v>24</v>
      </c>
      <c r="G11" s="108">
        <f>G8</f>
        <v>8</v>
      </c>
      <c r="H11" s="108">
        <f>F11/G11</f>
        <v>3</v>
      </c>
      <c r="I11" s="108"/>
      <c r="J11" s="269"/>
      <c r="K11" s="105">
        <f>SUMPRODUCT(F4:F7,G4:G7)/SUM(G4:G7)</f>
        <v>3</v>
      </c>
      <c r="M11" t="e">
        <f ca="1">FTEXT(K11)</f>
        <v>#NAME?</v>
      </c>
      <c r="Q11" s="108">
        <f>U8</f>
        <v>68</v>
      </c>
      <c r="R11" s="108">
        <f>S8</f>
        <v>7</v>
      </c>
      <c r="S11" s="108">
        <f>Q11/R11</f>
        <v>9.7142857142857135</v>
      </c>
    </row>
    <row r="12" spans="1:22" x14ac:dyDescent="0.25">
      <c r="C12" s="8">
        <v>2</v>
      </c>
      <c r="D12" s="8">
        <f>G4/$G$8</f>
        <v>0.5</v>
      </c>
      <c r="F12" s="108"/>
      <c r="G12" s="108"/>
      <c r="H12" s="108"/>
      <c r="I12" s="108"/>
      <c r="J12" s="269"/>
    </row>
    <row r="13" spans="1:22" ht="17.25" x14ac:dyDescent="0.25">
      <c r="C13" s="8">
        <v>3</v>
      </c>
      <c r="D13" s="8">
        <f>G5/$G$8</f>
        <v>0.125</v>
      </c>
      <c r="F13" s="110" t="s">
        <v>198</v>
      </c>
      <c r="G13" s="110" t="s">
        <v>105</v>
      </c>
      <c r="H13" s="110" t="s">
        <v>197</v>
      </c>
      <c r="I13" s="111" t="s">
        <v>65</v>
      </c>
      <c r="J13" s="60"/>
      <c r="Q13" s="110" t="s">
        <v>198</v>
      </c>
      <c r="R13" s="110" t="s">
        <v>105</v>
      </c>
      <c r="S13" s="110" t="s">
        <v>197</v>
      </c>
      <c r="T13" s="111" t="s">
        <v>65</v>
      </c>
    </row>
    <row r="14" spans="1:22" x14ac:dyDescent="0.25">
      <c r="C14" s="8">
        <v>4</v>
      </c>
      <c r="D14" s="8">
        <f>G6/$G$8</f>
        <v>0.25</v>
      </c>
      <c r="F14" s="108">
        <f>I8</f>
        <v>82</v>
      </c>
      <c r="G14" s="108">
        <f>G8</f>
        <v>8</v>
      </c>
      <c r="H14" s="108">
        <f>H11^2</f>
        <v>9</v>
      </c>
      <c r="I14" s="108">
        <f>(F14-G14*H14)/(G14-1)</f>
        <v>1.4285714285714286</v>
      </c>
      <c r="J14" s="269"/>
      <c r="K14" s="105">
        <f>(SUMPRODUCT(F4:F7^2,G4:G7)-SUM(G4:G7)*K11^2)/(SUM(G4:G7)-1)</f>
        <v>1.4285714285714286</v>
      </c>
      <c r="M14" t="e">
        <f ca="1">FTEXT(K14)</f>
        <v>#NAME?</v>
      </c>
      <c r="Q14" s="108">
        <f>V8</f>
        <v>1136</v>
      </c>
      <c r="R14" s="108">
        <f>S8</f>
        <v>7</v>
      </c>
      <c r="S14" s="108">
        <f>S11^2</f>
        <v>94.367346938775498</v>
      </c>
      <c r="T14" s="108">
        <f>(Q14-R14*S14)/(R14-1)</f>
        <v>79.238095238095255</v>
      </c>
    </row>
    <row r="15" spans="1:22" x14ac:dyDescent="0.25">
      <c r="C15" s="162">
        <v>5</v>
      </c>
      <c r="D15" s="162">
        <f>G7/$G$8</f>
        <v>0.125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8"/>
  <dimension ref="A1:W52"/>
  <sheetViews>
    <sheetView workbookViewId="0"/>
  </sheetViews>
  <sheetFormatPr defaultRowHeight="15" x14ac:dyDescent="0.25"/>
  <cols>
    <col min="9" max="10" width="6.28515625" customWidth="1"/>
    <col min="11" max="11" width="3.85546875" customWidth="1"/>
    <col min="12" max="12" width="18.28515625" customWidth="1"/>
    <col min="14" max="14" width="2.28515625" customWidth="1"/>
    <col min="15" max="15" width="105.7109375" customWidth="1"/>
    <col min="16" max="16" width="9.140625" customWidth="1"/>
    <col min="17" max="18" width="6.28515625" customWidth="1"/>
    <col min="19" max="19" width="7" customWidth="1"/>
    <col min="20" max="20" width="18.28515625" customWidth="1"/>
  </cols>
  <sheetData>
    <row r="1" spans="1:23" x14ac:dyDescent="0.25">
      <c r="A1" s="1" t="s">
        <v>116</v>
      </c>
      <c r="I1" s="1" t="s">
        <v>258</v>
      </c>
      <c r="Q1" t="s">
        <v>258</v>
      </c>
    </row>
    <row r="2" spans="1:23" ht="15" customHeight="1" x14ac:dyDescent="0.25"/>
    <row r="3" spans="1:23" x14ac:dyDescent="0.25">
      <c r="A3" s="383" t="s">
        <v>117</v>
      </c>
      <c r="B3" s="383"/>
      <c r="C3" s="383"/>
      <c r="E3" s="383" t="s">
        <v>118</v>
      </c>
      <c r="F3" s="383"/>
      <c r="G3" s="383"/>
      <c r="I3" t="s">
        <v>117</v>
      </c>
      <c r="L3" t="s">
        <v>94</v>
      </c>
      <c r="Q3" t="s">
        <v>117</v>
      </c>
      <c r="T3" t="s">
        <v>94</v>
      </c>
      <c r="W3" t="s">
        <v>124</v>
      </c>
    </row>
    <row r="4" spans="1:23" ht="15" customHeight="1" x14ac:dyDescent="0.25">
      <c r="L4" s="162"/>
      <c r="M4" s="162"/>
      <c r="N4" s="8"/>
      <c r="O4" s="8"/>
      <c r="T4" s="162"/>
      <c r="U4" s="162"/>
    </row>
    <row r="5" spans="1:23" x14ac:dyDescent="0.25">
      <c r="A5" s="288" t="s">
        <v>119</v>
      </c>
      <c r="B5" s="288" t="s">
        <v>120</v>
      </c>
      <c r="C5" s="288" t="s">
        <v>121</v>
      </c>
      <c r="E5" s="288" t="str">
        <f>A5</f>
        <v>Score</v>
      </c>
      <c r="F5" s="288" t="s">
        <v>122</v>
      </c>
      <c r="G5" s="288" t="s">
        <v>87</v>
      </c>
      <c r="I5" s="115" t="s">
        <v>119</v>
      </c>
      <c r="J5" s="115" t="s">
        <v>120</v>
      </c>
      <c r="L5" t="s">
        <v>75</v>
      </c>
      <c r="M5">
        <f>M16/M17</f>
        <v>5.5</v>
      </c>
      <c r="O5" s="22" t="e">
        <f ca="1">FTEXT(M5)</f>
        <v>#NAME?</v>
      </c>
      <c r="Q5" s="173" t="s">
        <v>119</v>
      </c>
      <c r="R5" s="174" t="s">
        <v>120</v>
      </c>
      <c r="T5" t="s">
        <v>75</v>
      </c>
      <c r="U5">
        <f>U16/U17</f>
        <v>5.5</v>
      </c>
      <c r="W5" s="176" t="e">
        <f t="array" aca="1" ref="W5:W19" ca="1">FREQ2RAW(Q6:Q12,R6:R12)</f>
        <v>#NAME?</v>
      </c>
    </row>
    <row r="6" spans="1:23" x14ac:dyDescent="0.25">
      <c r="A6" s="59">
        <v>5</v>
      </c>
      <c r="B6" s="8">
        <v>1</v>
      </c>
      <c r="C6" s="8">
        <f>B6</f>
        <v>1</v>
      </c>
      <c r="E6" s="59">
        <f>A6</f>
        <v>5</v>
      </c>
      <c r="F6" s="8">
        <v>1</v>
      </c>
      <c r="G6" s="8">
        <f>B6-1</f>
        <v>0</v>
      </c>
      <c r="I6" s="59">
        <v>5</v>
      </c>
      <c r="J6" s="8">
        <v>1</v>
      </c>
      <c r="L6" t="s">
        <v>76</v>
      </c>
      <c r="M6">
        <f>M9/SQRT(M17)</f>
        <v>7.3029674334022132E-2</v>
      </c>
      <c r="O6" s="22" t="e">
        <f ca="1">FTEXT(M6)</f>
        <v>#NAME?</v>
      </c>
      <c r="Q6" s="118">
        <v>5</v>
      </c>
      <c r="R6" s="93">
        <v>1</v>
      </c>
      <c r="T6" t="s">
        <v>76</v>
      </c>
      <c r="U6">
        <f>U9/SQRT(U17)</f>
        <v>7.3029674334022132E-2</v>
      </c>
      <c r="W6" s="124" t="e">
        <f ca="1"/>
        <v>#NAME?</v>
      </c>
    </row>
    <row r="7" spans="1:23" x14ac:dyDescent="0.25">
      <c r="A7" s="59">
        <v>5.0999999999999996</v>
      </c>
      <c r="B7" s="8">
        <v>1</v>
      </c>
      <c r="C7" s="8">
        <f t="shared" ref="C7:C12" si="0">B7+C6</f>
        <v>2</v>
      </c>
      <c r="E7" s="59">
        <f t="shared" ref="E7:E20" si="1">IF(G6=0,INDEX($A$27:$A$33,F6+1),E6)</f>
        <v>5.0999999999999996</v>
      </c>
      <c r="F7" s="8">
        <f>IF(G6=0,F6+1,F6)</f>
        <v>2</v>
      </c>
      <c r="G7" s="8">
        <f t="shared" ref="G7:G20" si="2">IF(G6=0,INDEX($B$27:$B$33,F7)-1,G6-1)</f>
        <v>0</v>
      </c>
      <c r="I7" s="59">
        <v>5.0999999999999996</v>
      </c>
      <c r="J7" s="8">
        <v>1</v>
      </c>
      <c r="L7" t="s">
        <v>77</v>
      </c>
      <c r="M7" t="e">
        <f ca="1">MEDIAN(FREQ2RAW(I6:I12,J6:J12))</f>
        <v>#NAME?</v>
      </c>
      <c r="O7" s="22" t="e">
        <f ca="1">FTEXT(M7)</f>
        <v>#NAME?</v>
      </c>
      <c r="Q7" s="118">
        <v>5.0999999999999996</v>
      </c>
      <c r="R7" s="93">
        <v>1</v>
      </c>
      <c r="T7" t="s">
        <v>77</v>
      </c>
      <c r="U7" t="e">
        <f ca="1">MEDIAN(FREQ2RAW(Q6:Q12,R6:R12))</f>
        <v>#NAME?</v>
      </c>
      <c r="W7" s="124" t="e">
        <f ca="1"/>
        <v>#NAME?</v>
      </c>
    </row>
    <row r="8" spans="1:23" x14ac:dyDescent="0.25">
      <c r="A8" s="59">
        <v>5.2</v>
      </c>
      <c r="B8" s="8">
        <v>3</v>
      </c>
      <c r="C8" s="8">
        <f t="shared" si="0"/>
        <v>5</v>
      </c>
      <c r="E8" s="59">
        <f t="shared" si="1"/>
        <v>5.2</v>
      </c>
      <c r="F8" s="8">
        <f t="shared" ref="F8:F20" si="3">IF(G7=0,F7+1,F7)</f>
        <v>3</v>
      </c>
      <c r="G8" s="8">
        <f t="shared" si="2"/>
        <v>2</v>
      </c>
      <c r="I8" s="59">
        <v>5.2</v>
      </c>
      <c r="J8" s="8">
        <v>3</v>
      </c>
      <c r="L8" t="s">
        <v>78</v>
      </c>
      <c r="M8">
        <f>IF(COUNTIF(J6:J12,MAX(J6:J12))&gt;1,#N/A,SUMIF(J6:J12,MAX(J6:J12),I6:I12))</f>
        <v>5.7</v>
      </c>
      <c r="O8" s="22" t="e">
        <f ca="1">FTEXT(M8)</f>
        <v>#NAME?</v>
      </c>
      <c r="Q8" s="118">
        <v>5.2</v>
      </c>
      <c r="R8" s="93">
        <v>3</v>
      </c>
      <c r="T8" t="s">
        <v>78</v>
      </c>
      <c r="U8">
        <f>IF(COUNTIF(R6:R12,MAX(R6:R12))&gt;1,#N/A,SUMIF(R6:R12,MAX(R6:R12),Q6:Q12))</f>
        <v>5.7</v>
      </c>
      <c r="W8" s="124" t="e">
        <f ca="1"/>
        <v>#NAME?</v>
      </c>
    </row>
    <row r="9" spans="1:23" x14ac:dyDescent="0.25">
      <c r="A9" s="59">
        <v>5.5</v>
      </c>
      <c r="B9" s="8">
        <v>2</v>
      </c>
      <c r="C9" s="8">
        <f t="shared" si="0"/>
        <v>7</v>
      </c>
      <c r="E9" s="59">
        <f t="shared" si="1"/>
        <v>5.2</v>
      </c>
      <c r="F9" s="8">
        <f t="shared" si="3"/>
        <v>3</v>
      </c>
      <c r="G9" s="8">
        <f t="shared" si="2"/>
        <v>1</v>
      </c>
      <c r="I9" s="59">
        <v>5.5</v>
      </c>
      <c r="J9" s="8">
        <v>2</v>
      </c>
      <c r="L9" t="s">
        <v>79</v>
      </c>
      <c r="M9">
        <f>SQRT(M10)</f>
        <v>0.28284271247461895</v>
      </c>
      <c r="O9" s="22" t="e">
        <f ca="1">FTEXT(M9)</f>
        <v>#NAME?</v>
      </c>
      <c r="Q9" s="118">
        <v>5.5</v>
      </c>
      <c r="R9" s="93">
        <v>2</v>
      </c>
      <c r="T9" t="s">
        <v>79</v>
      </c>
      <c r="U9">
        <f>SQRT(U10)</f>
        <v>0.28284271247461895</v>
      </c>
      <c r="W9" s="124" t="e">
        <f ca="1"/>
        <v>#NAME?</v>
      </c>
    </row>
    <row r="10" spans="1:23" x14ac:dyDescent="0.25">
      <c r="A10" s="59">
        <v>5.6</v>
      </c>
      <c r="B10" s="8">
        <v>1</v>
      </c>
      <c r="C10" s="8">
        <f t="shared" si="0"/>
        <v>8</v>
      </c>
      <c r="E10" s="59">
        <f t="shared" si="1"/>
        <v>5.2</v>
      </c>
      <c r="F10" s="8">
        <f t="shared" si="3"/>
        <v>3</v>
      </c>
      <c r="G10" s="8">
        <f t="shared" si="2"/>
        <v>0</v>
      </c>
      <c r="I10" s="59">
        <v>5.6</v>
      </c>
      <c r="J10" s="8">
        <v>1</v>
      </c>
      <c r="L10" t="s">
        <v>80</v>
      </c>
      <c r="M10">
        <f>SUMPRODUCT((I6:I12-M5)^2,J6:J12)/(M17-1)</f>
        <v>7.9999999999999974E-2</v>
      </c>
      <c r="O10" s="22" t="e">
        <f ca="1">FTEXT(M10)</f>
        <v>#NAME?</v>
      </c>
      <c r="Q10" s="118">
        <v>5.6</v>
      </c>
      <c r="R10" s="93">
        <v>1</v>
      </c>
      <c r="T10" t="s">
        <v>80</v>
      </c>
      <c r="U10">
        <f>SUMPRODUCT((Q6:Q12-U5)^2,R6:R12)/(U17-1)</f>
        <v>7.9999999999999974E-2</v>
      </c>
      <c r="W10" s="124" t="e">
        <f ca="1"/>
        <v>#NAME?</v>
      </c>
    </row>
    <row r="11" spans="1:23" x14ac:dyDescent="0.25">
      <c r="A11" s="59">
        <v>5.7</v>
      </c>
      <c r="B11" s="8">
        <v>4</v>
      </c>
      <c r="C11" s="8">
        <f t="shared" si="0"/>
        <v>12</v>
      </c>
      <c r="E11" s="59">
        <f t="shared" si="1"/>
        <v>5.5</v>
      </c>
      <c r="F11" s="8">
        <f t="shared" si="3"/>
        <v>4</v>
      </c>
      <c r="G11" s="8">
        <f t="shared" si="2"/>
        <v>1</v>
      </c>
      <c r="I11" s="59">
        <v>5.7</v>
      </c>
      <c r="J11" s="8">
        <v>4</v>
      </c>
      <c r="L11" t="s">
        <v>81</v>
      </c>
      <c r="M11">
        <f>M17*(M17+1)*SUMPRODUCT((I6:I12-M5)^4,J6:J12)/((M17-1)*(M17-2)*(M17-3)*M10^2)-3*(M17-1)^2/((M17-2)*(M17-3))</f>
        <v>-1.3104395604395593</v>
      </c>
      <c r="O11" s="22" t="e">
        <f ca="1">FTEXT(M11)</f>
        <v>#NAME?</v>
      </c>
      <c r="Q11" s="118">
        <v>5.7</v>
      </c>
      <c r="R11" s="93">
        <v>4</v>
      </c>
      <c r="T11" t="s">
        <v>81</v>
      </c>
      <c r="U11">
        <f>U17*(U17+1)*SUMPRODUCT((Q6:Q12-U5)^4,R6:R12)/((U17-1)*(U17-2)*(U17-3)*U10^2)-3*(U17-1)^2/((U17-2)*(U17-3))</f>
        <v>-1.3104395604395593</v>
      </c>
      <c r="W11" s="124" t="e">
        <f ca="1"/>
        <v>#NAME?</v>
      </c>
    </row>
    <row r="12" spans="1:23" x14ac:dyDescent="0.25">
      <c r="A12" s="224">
        <v>5.8</v>
      </c>
      <c r="B12" s="162">
        <v>3</v>
      </c>
      <c r="C12" s="162">
        <f t="shared" si="0"/>
        <v>15</v>
      </c>
      <c r="E12" s="59">
        <f t="shared" si="1"/>
        <v>5.5</v>
      </c>
      <c r="F12" s="8">
        <f t="shared" si="3"/>
        <v>4</v>
      </c>
      <c r="G12" s="8">
        <f t="shared" si="2"/>
        <v>0</v>
      </c>
      <c r="I12" s="224">
        <v>5.8</v>
      </c>
      <c r="J12" s="162">
        <v>3</v>
      </c>
      <c r="L12" t="s">
        <v>82</v>
      </c>
      <c r="M12">
        <f>M17*SUMPRODUCT((I6:I12-M5)^3,J6:J12)/((M17-1)*(M17-2)*M9^3)</f>
        <v>-0.56821080631061915</v>
      </c>
      <c r="O12" s="22" t="e">
        <f ca="1">FTEXT(M12)</f>
        <v>#NAME?</v>
      </c>
      <c r="Q12" s="175">
        <v>5.8</v>
      </c>
      <c r="R12" s="83">
        <v>3</v>
      </c>
      <c r="T12" t="s">
        <v>82</v>
      </c>
      <c r="U12">
        <f>U17*SUMPRODUCT((Q6:Q12-U5)^3,R6:R12)/((U17-1)*(U17-2)*U9^3)</f>
        <v>-0.56821080631061915</v>
      </c>
      <c r="W12" s="124" t="e">
        <f ca="1"/>
        <v>#NAME?</v>
      </c>
    </row>
    <row r="13" spans="1:23" x14ac:dyDescent="0.25">
      <c r="E13" s="59">
        <f t="shared" si="1"/>
        <v>5.6</v>
      </c>
      <c r="F13" s="8">
        <f t="shared" si="3"/>
        <v>5</v>
      </c>
      <c r="G13" s="8">
        <f t="shared" si="2"/>
        <v>0</v>
      </c>
      <c r="L13" t="s">
        <v>83</v>
      </c>
      <c r="M13" s="48">
        <f>M14-M15</f>
        <v>0.79999999999999982</v>
      </c>
      <c r="O13" s="22" t="e">
        <f ca="1">FTEXT(M13)</f>
        <v>#NAME?</v>
      </c>
      <c r="T13" t="s">
        <v>83</v>
      </c>
      <c r="U13" s="48">
        <f>U14-U15</f>
        <v>0.79999999999999982</v>
      </c>
      <c r="W13" s="124" t="e">
        <f ca="1"/>
        <v>#NAME?</v>
      </c>
    </row>
    <row r="14" spans="1:23" x14ac:dyDescent="0.25">
      <c r="E14" s="59">
        <f t="shared" si="1"/>
        <v>5.7</v>
      </c>
      <c r="F14" s="8">
        <f t="shared" si="3"/>
        <v>6</v>
      </c>
      <c r="G14" s="8">
        <f t="shared" si="2"/>
        <v>3</v>
      </c>
      <c r="L14" t="s">
        <v>85</v>
      </c>
      <c r="M14" s="48">
        <f>MAX(I6:I12)</f>
        <v>5.8</v>
      </c>
      <c r="N14" s="48"/>
      <c r="O14" s="22" t="e">
        <f ca="1">FTEXT(M14)</f>
        <v>#NAME?</v>
      </c>
      <c r="T14" t="s">
        <v>85</v>
      </c>
      <c r="U14" s="48">
        <f>MAX(Q6:Q12)</f>
        <v>5.8</v>
      </c>
      <c r="W14" s="124" t="e">
        <f ca="1"/>
        <v>#NAME?</v>
      </c>
    </row>
    <row r="15" spans="1:23" x14ac:dyDescent="0.25">
      <c r="E15" s="59">
        <f t="shared" si="1"/>
        <v>5.7</v>
      </c>
      <c r="F15" s="8">
        <f t="shared" si="3"/>
        <v>6</v>
      </c>
      <c r="G15" s="8">
        <f t="shared" si="2"/>
        <v>2</v>
      </c>
      <c r="L15" t="s">
        <v>84</v>
      </c>
      <c r="M15" s="48">
        <f>MIN(I6:I12)</f>
        <v>5</v>
      </c>
      <c r="N15" s="48"/>
      <c r="O15" s="22" t="e">
        <f ca="1">FTEXT(M15)</f>
        <v>#NAME?</v>
      </c>
      <c r="T15" t="s">
        <v>84</v>
      </c>
      <c r="U15" s="48">
        <f>MIN(Q6:Q12)</f>
        <v>5</v>
      </c>
      <c r="W15" s="124" t="e">
        <f ca="1"/>
        <v>#NAME?</v>
      </c>
    </row>
    <row r="16" spans="1:23" x14ac:dyDescent="0.25">
      <c r="E16" s="59">
        <f t="shared" si="1"/>
        <v>5.7</v>
      </c>
      <c r="F16" s="8">
        <f t="shared" si="3"/>
        <v>6</v>
      </c>
      <c r="G16" s="8">
        <f t="shared" si="2"/>
        <v>1</v>
      </c>
      <c r="L16" t="s">
        <v>86</v>
      </c>
      <c r="M16">
        <f>SUMPRODUCT(I6:I12,J6:J12)</f>
        <v>82.5</v>
      </c>
      <c r="O16" s="22" t="e">
        <f ca="1">FTEXT(M16)</f>
        <v>#NAME?</v>
      </c>
      <c r="T16" t="s">
        <v>86</v>
      </c>
      <c r="U16">
        <f>SUMPRODUCT(Q6:Q12,R6:R12)</f>
        <v>82.5</v>
      </c>
      <c r="W16" s="124" t="e">
        <f ca="1"/>
        <v>#NAME?</v>
      </c>
    </row>
    <row r="17" spans="1:23" x14ac:dyDescent="0.25">
      <c r="E17" s="59">
        <f t="shared" si="1"/>
        <v>5.7</v>
      </c>
      <c r="F17" s="8">
        <f t="shared" si="3"/>
        <v>6</v>
      </c>
      <c r="G17" s="8">
        <f t="shared" si="2"/>
        <v>0</v>
      </c>
      <c r="L17" t="s">
        <v>87</v>
      </c>
      <c r="M17">
        <f>SUM(J6:J12)</f>
        <v>15</v>
      </c>
      <c r="O17" s="22" t="e">
        <f ca="1">FTEXT(M17)</f>
        <v>#NAME?</v>
      </c>
      <c r="T17" t="s">
        <v>87</v>
      </c>
      <c r="U17">
        <f>SUM(R6:R12)</f>
        <v>15</v>
      </c>
      <c r="W17" s="124" t="e">
        <f ca="1"/>
        <v>#NAME?</v>
      </c>
    </row>
    <row r="18" spans="1:23" x14ac:dyDescent="0.25">
      <c r="E18" s="59">
        <f t="shared" si="1"/>
        <v>5.8</v>
      </c>
      <c r="F18" s="8">
        <f t="shared" si="3"/>
        <v>7</v>
      </c>
      <c r="G18" s="8">
        <f t="shared" si="2"/>
        <v>2</v>
      </c>
      <c r="L18" t="s">
        <v>33</v>
      </c>
      <c r="M18">
        <f t="array" ref="M18">PRODUCT(I6:I12^J6:J12)^(1/M17)</f>
        <v>5.493086880815456</v>
      </c>
      <c r="O18" s="22" t="e">
        <f ca="1">FTEXT(M18)</f>
        <v>#NAME?</v>
      </c>
      <c r="T18" t="s">
        <v>33</v>
      </c>
      <c r="U18">
        <f t="array" ref="U18">PRODUCT(Q6:Q12^R6:R12)^(1/U17)</f>
        <v>5.493086880815456</v>
      </c>
      <c r="W18" s="124" t="e">
        <f ca="1"/>
        <v>#NAME?</v>
      </c>
    </row>
    <row r="19" spans="1:23" x14ac:dyDescent="0.25">
      <c r="E19" s="59">
        <f t="shared" si="1"/>
        <v>5.8</v>
      </c>
      <c r="F19" s="8">
        <f t="shared" si="3"/>
        <v>7</v>
      </c>
      <c r="G19" s="8">
        <f t="shared" si="2"/>
        <v>1</v>
      </c>
      <c r="L19" t="s">
        <v>90</v>
      </c>
      <c r="M19">
        <f>M17/SUMPRODUCT(1/I6:I12*J6:J12)</f>
        <v>5.4860552296314848</v>
      </c>
      <c r="O19" s="22" t="e">
        <f ca="1">FTEXT(M19)</f>
        <v>#NAME?</v>
      </c>
      <c r="T19" t="s">
        <v>90</v>
      </c>
      <c r="U19">
        <f>U17/SUMPRODUCT(1/Q6:Q12*R6:R12)</f>
        <v>5.4860552296314848</v>
      </c>
      <c r="W19" s="158" t="e">
        <f ca="1"/>
        <v>#NAME?</v>
      </c>
    </row>
    <row r="20" spans="1:23" x14ac:dyDescent="0.25">
      <c r="E20" s="224">
        <f t="shared" si="1"/>
        <v>5.8</v>
      </c>
      <c r="F20" s="162">
        <f t="shared" si="3"/>
        <v>7</v>
      </c>
      <c r="G20" s="162">
        <f t="shared" si="2"/>
        <v>0</v>
      </c>
      <c r="L20" t="s">
        <v>91</v>
      </c>
      <c r="M20">
        <f>SUMPRODUCT(ABS(I6:I12-M5),J6:J12)/M17</f>
        <v>0.23999999999999996</v>
      </c>
      <c r="O20" s="22" t="e">
        <f ca="1">FTEXT(M20)</f>
        <v>#NAME?</v>
      </c>
      <c r="T20" t="s">
        <v>91</v>
      </c>
      <c r="U20">
        <f>SUMPRODUCT(ABS(Q6:Q12-U5),R6:R12)/U17</f>
        <v>0.23999999999999996</v>
      </c>
    </row>
    <row r="21" spans="1:23" x14ac:dyDescent="0.25">
      <c r="L21" t="s">
        <v>92</v>
      </c>
      <c r="M21" t="e">
        <f ca="1">MAD(FREQ2RAW(I6:I12,J6:J12))</f>
        <v>#NAME?</v>
      </c>
      <c r="O21" s="22" t="e">
        <f ca="1">FTEXT(M21)</f>
        <v>#NAME?</v>
      </c>
      <c r="T21" t="s">
        <v>92</v>
      </c>
      <c r="U21" t="e">
        <f ca="1">MAD(FREQ2RAW(Q6:Q12,R6:R12))</f>
        <v>#NAME?</v>
      </c>
    </row>
    <row r="22" spans="1:23" x14ac:dyDescent="0.25">
      <c r="A22" s="1" t="s">
        <v>123</v>
      </c>
      <c r="L22" s="162" t="s">
        <v>93</v>
      </c>
      <c r="M22" s="162" t="e">
        <f ca="1">IQR(FREQ2RAW(I6:I12,J6:J12))</f>
        <v>#NAME?</v>
      </c>
      <c r="O22" s="22" t="e">
        <f ca="1">FTEXT(M22)</f>
        <v>#NAME?</v>
      </c>
      <c r="T22" s="162" t="s">
        <v>93</v>
      </c>
      <c r="U22" s="162" t="e">
        <f ca="1">IQR(FREQ2RAW(Q6:Q12,R6:R12))</f>
        <v>#NAME?</v>
      </c>
    </row>
    <row r="24" spans="1:23" x14ac:dyDescent="0.25">
      <c r="A24" s="383" t="s">
        <v>117</v>
      </c>
      <c r="B24" s="383"/>
      <c r="C24" s="383"/>
    </row>
    <row r="26" spans="1:23" x14ac:dyDescent="0.25">
      <c r="A26" s="37" t="s">
        <v>119</v>
      </c>
      <c r="B26" s="38" t="s">
        <v>120</v>
      </c>
      <c r="C26" s="20" t="s">
        <v>121</v>
      </c>
    </row>
    <row r="27" spans="1:23" x14ac:dyDescent="0.25">
      <c r="A27" s="45">
        <v>5</v>
      </c>
      <c r="B27" s="8">
        <v>1</v>
      </c>
      <c r="C27" s="9">
        <f>B27</f>
        <v>1</v>
      </c>
    </row>
    <row r="28" spans="1:23" x14ac:dyDescent="0.25">
      <c r="A28" s="45">
        <v>5.0999999999999996</v>
      </c>
      <c r="B28" s="8">
        <v>1</v>
      </c>
      <c r="C28" s="9">
        <f>B28+C27</f>
        <v>2</v>
      </c>
    </row>
    <row r="29" spans="1:23" x14ac:dyDescent="0.25">
      <c r="A29" s="45">
        <v>5.2</v>
      </c>
      <c r="B29" s="8">
        <v>3</v>
      </c>
      <c r="C29" s="9">
        <f>B29+C28</f>
        <v>5</v>
      </c>
    </row>
    <row r="30" spans="1:23" x14ac:dyDescent="0.25">
      <c r="A30" s="45">
        <v>5.5</v>
      </c>
      <c r="B30" s="8">
        <v>2</v>
      </c>
      <c r="C30" s="9">
        <f>B30+C29</f>
        <v>7</v>
      </c>
    </row>
    <row r="31" spans="1:23" x14ac:dyDescent="0.25">
      <c r="A31" s="45">
        <v>5.6</v>
      </c>
      <c r="B31" s="8">
        <v>1</v>
      </c>
      <c r="C31" s="9">
        <f>B31+C30</f>
        <v>8</v>
      </c>
    </row>
    <row r="32" spans="1:23" x14ac:dyDescent="0.25">
      <c r="A32" s="45">
        <v>5.7</v>
      </c>
      <c r="B32" s="8">
        <v>4</v>
      </c>
      <c r="C32" s="9">
        <f>B32+C31</f>
        <v>12</v>
      </c>
    </row>
    <row r="33" spans="1:3" x14ac:dyDescent="0.25">
      <c r="A33" s="46">
        <v>5.8</v>
      </c>
      <c r="B33" s="11">
        <v>3</v>
      </c>
      <c r="C33" s="12" t="e">
        <f>B33+#REF!</f>
        <v>#REF!</v>
      </c>
    </row>
    <row r="35" spans="1:3" x14ac:dyDescent="0.25">
      <c r="A35" s="383" t="s">
        <v>118</v>
      </c>
      <c r="B35" s="383"/>
      <c r="C35" s="383"/>
    </row>
    <row r="37" spans="1:3" x14ac:dyDescent="0.25">
      <c r="A37" s="37" t="str">
        <f>A26</f>
        <v>Score</v>
      </c>
      <c r="B37" s="38" t="s">
        <v>122</v>
      </c>
      <c r="C37" s="20" t="s">
        <v>87</v>
      </c>
    </row>
    <row r="38" spans="1:3" x14ac:dyDescent="0.25">
      <c r="A38" s="45">
        <f>A27</f>
        <v>5</v>
      </c>
      <c r="B38" s="8">
        <f>ROW(A27)</f>
        <v>27</v>
      </c>
      <c r="C38" s="9">
        <f>B27-1</f>
        <v>0</v>
      </c>
    </row>
    <row r="39" spans="1:3" x14ac:dyDescent="0.25">
      <c r="A39" s="45">
        <f t="shared" ref="A39:A52" ca="1" si="4">INDIRECT("R"&amp;B39&amp;"C"&amp;COLUMN(A39),FALSE)</f>
        <v>5.0999999999999996</v>
      </c>
      <c r="B39" s="8">
        <f t="shared" ref="B39:B52" si="5">IF(C38=0,B38+1,B38)</f>
        <v>28</v>
      </c>
      <c r="C39" s="9">
        <f t="shared" ref="C39:C52" ca="1" si="6">IF(C38=0,INDIRECT("R"&amp;B39&amp;"C"&amp;COLUMN(B39),FALSE)-1,C38-1)</f>
        <v>0</v>
      </c>
    </row>
    <row r="40" spans="1:3" x14ac:dyDescent="0.25">
      <c r="A40" s="45">
        <f t="shared" ca="1" si="4"/>
        <v>5.2</v>
      </c>
      <c r="B40" s="8">
        <f t="shared" ca="1" si="5"/>
        <v>29</v>
      </c>
      <c r="C40" s="9">
        <f t="shared" ca="1" si="6"/>
        <v>2</v>
      </c>
    </row>
    <row r="41" spans="1:3" x14ac:dyDescent="0.25">
      <c r="A41" s="45">
        <f t="shared" ca="1" si="4"/>
        <v>5.2</v>
      </c>
      <c r="B41" s="8">
        <f t="shared" ca="1" si="5"/>
        <v>29</v>
      </c>
      <c r="C41" s="9">
        <f t="shared" ca="1" si="6"/>
        <v>1</v>
      </c>
    </row>
    <row r="42" spans="1:3" x14ac:dyDescent="0.25">
      <c r="A42" s="45">
        <f t="shared" ca="1" si="4"/>
        <v>5.2</v>
      </c>
      <c r="B42" s="8">
        <f t="shared" ca="1" si="5"/>
        <v>29</v>
      </c>
      <c r="C42" s="9">
        <f t="shared" ca="1" si="6"/>
        <v>0</v>
      </c>
    </row>
    <row r="43" spans="1:3" x14ac:dyDescent="0.25">
      <c r="A43" s="45">
        <f t="shared" ca="1" si="4"/>
        <v>5.5</v>
      </c>
      <c r="B43" s="8">
        <f t="shared" ca="1" si="5"/>
        <v>30</v>
      </c>
      <c r="C43" s="9">
        <f t="shared" ca="1" si="6"/>
        <v>1</v>
      </c>
    </row>
    <row r="44" spans="1:3" x14ac:dyDescent="0.25">
      <c r="A44" s="45">
        <f t="shared" ca="1" si="4"/>
        <v>5.5</v>
      </c>
      <c r="B44" s="8">
        <f t="shared" ca="1" si="5"/>
        <v>30</v>
      </c>
      <c r="C44" s="9">
        <f t="shared" ca="1" si="6"/>
        <v>0</v>
      </c>
    </row>
    <row r="45" spans="1:3" x14ac:dyDescent="0.25">
      <c r="A45" s="45">
        <f t="shared" ca="1" si="4"/>
        <v>5.6</v>
      </c>
      <c r="B45" s="8">
        <f t="shared" ca="1" si="5"/>
        <v>31</v>
      </c>
      <c r="C45" s="9">
        <f t="shared" ca="1" si="6"/>
        <v>0</v>
      </c>
    </row>
    <row r="46" spans="1:3" x14ac:dyDescent="0.25">
      <c r="A46" s="45">
        <f t="shared" ca="1" si="4"/>
        <v>5.7</v>
      </c>
      <c r="B46" s="8">
        <f t="shared" ca="1" si="5"/>
        <v>32</v>
      </c>
      <c r="C46" s="9">
        <f t="shared" ca="1" si="6"/>
        <v>3</v>
      </c>
    </row>
    <row r="47" spans="1:3" x14ac:dyDescent="0.25">
      <c r="A47" s="45">
        <f t="shared" ca="1" si="4"/>
        <v>5.7</v>
      </c>
      <c r="B47" s="8">
        <f t="shared" ca="1" si="5"/>
        <v>32</v>
      </c>
      <c r="C47" s="9">
        <f t="shared" ca="1" si="6"/>
        <v>2</v>
      </c>
    </row>
    <row r="48" spans="1:3" x14ac:dyDescent="0.25">
      <c r="A48" s="45">
        <f t="shared" ca="1" si="4"/>
        <v>5.7</v>
      </c>
      <c r="B48" s="8">
        <f t="shared" ca="1" si="5"/>
        <v>32</v>
      </c>
      <c r="C48" s="9">
        <f t="shared" ca="1" si="6"/>
        <v>1</v>
      </c>
    </row>
    <row r="49" spans="1:3" x14ac:dyDescent="0.25">
      <c r="A49" s="45">
        <f t="shared" ca="1" si="4"/>
        <v>5.7</v>
      </c>
      <c r="B49" s="8">
        <f t="shared" ca="1" si="5"/>
        <v>32</v>
      </c>
      <c r="C49" s="9">
        <f t="shared" ca="1" si="6"/>
        <v>0</v>
      </c>
    </row>
    <row r="50" spans="1:3" x14ac:dyDescent="0.25">
      <c r="A50" s="45">
        <f t="shared" ca="1" si="4"/>
        <v>5.8</v>
      </c>
      <c r="B50" s="8">
        <f t="shared" ca="1" si="5"/>
        <v>33</v>
      </c>
      <c r="C50" s="9">
        <f t="shared" ca="1" si="6"/>
        <v>2</v>
      </c>
    </row>
    <row r="51" spans="1:3" x14ac:dyDescent="0.25">
      <c r="A51" s="45">
        <f t="shared" ca="1" si="4"/>
        <v>5.8</v>
      </c>
      <c r="B51" s="8">
        <f t="shared" ca="1" si="5"/>
        <v>33</v>
      </c>
      <c r="C51" s="9">
        <f t="shared" ca="1" si="6"/>
        <v>1</v>
      </c>
    </row>
    <row r="52" spans="1:3" x14ac:dyDescent="0.25">
      <c r="A52" s="46">
        <f t="shared" ca="1" si="4"/>
        <v>5.8</v>
      </c>
      <c r="B52" s="11">
        <f t="shared" ca="1" si="5"/>
        <v>33</v>
      </c>
      <c r="C52" s="12">
        <f t="shared" ca="1" si="6"/>
        <v>0</v>
      </c>
    </row>
  </sheetData>
  <mergeCells count="4">
    <mergeCell ref="A3:C3"/>
    <mergeCell ref="E3:G3"/>
    <mergeCell ref="A24:C24"/>
    <mergeCell ref="A35:C3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33"/>
  <sheetViews>
    <sheetView workbookViewId="0"/>
  </sheetViews>
  <sheetFormatPr defaultRowHeight="15" x14ac:dyDescent="0.25"/>
  <sheetData>
    <row r="1" spans="1:19" x14ac:dyDescent="0.25">
      <c r="A1" s="1" t="s">
        <v>117</v>
      </c>
      <c r="M1" t="s">
        <v>300</v>
      </c>
      <c r="Q1" t="s">
        <v>301</v>
      </c>
    </row>
    <row r="2" spans="1:19" x14ac:dyDescent="0.25">
      <c r="A2" s="24"/>
      <c r="B2" s="24"/>
      <c r="C2" s="58"/>
      <c r="D2" s="24"/>
      <c r="E2" s="24"/>
    </row>
    <row r="3" spans="1:19" x14ac:dyDescent="0.25">
      <c r="A3" s="384" t="s">
        <v>69</v>
      </c>
      <c r="B3" s="384"/>
      <c r="C3" s="8"/>
      <c r="D3" s="114" t="s">
        <v>107</v>
      </c>
      <c r="E3" s="114" t="s">
        <v>87</v>
      </c>
      <c r="M3" s="19" t="s">
        <v>248</v>
      </c>
      <c r="N3" s="19" t="s">
        <v>99</v>
      </c>
      <c r="O3" s="19" t="s">
        <v>297</v>
      </c>
      <c r="Q3" t="s">
        <v>117</v>
      </c>
    </row>
    <row r="4" spans="1:19" x14ac:dyDescent="0.25">
      <c r="A4" s="5">
        <v>34</v>
      </c>
      <c r="B4" s="5">
        <v>20</v>
      </c>
      <c r="C4" s="8"/>
      <c r="D4" s="5">
        <v>20</v>
      </c>
      <c r="E4" s="5">
        <f t="array" ref="E4:E8">FREQUENCY(A4:B14,D4:D7)</f>
        <v>6</v>
      </c>
      <c r="M4" s="154" t="e">
        <f t="array" aca="1" ref="M4:O11" ca="1">FREQTABLE(A4:B14,15)</f>
        <v>#NAME?</v>
      </c>
      <c r="N4" s="169" t="e">
        <f ca="1"/>
        <v>#NAME?</v>
      </c>
      <c r="O4" s="156" t="e">
        <f ca="1"/>
        <v>#NAME?</v>
      </c>
    </row>
    <row r="5" spans="1:19" x14ac:dyDescent="0.25">
      <c r="A5" s="8">
        <v>45</v>
      </c>
      <c r="B5" s="8">
        <v>34</v>
      </c>
      <c r="C5" s="8"/>
      <c r="D5" s="8">
        <v>40</v>
      </c>
      <c r="E5" s="8">
        <v>10</v>
      </c>
      <c r="M5" s="92" t="e">
        <f ca="1"/>
        <v>#NAME?</v>
      </c>
      <c r="N5" s="8" t="e">
        <f ca="1"/>
        <v>#NAME?</v>
      </c>
      <c r="O5" s="93" t="e">
        <f ca="1"/>
        <v>#NAME?</v>
      </c>
      <c r="Q5" t="s">
        <v>298</v>
      </c>
      <c r="R5">
        <v>15</v>
      </c>
    </row>
    <row r="6" spans="1:19" x14ac:dyDescent="0.25">
      <c r="A6" s="8">
        <v>23</v>
      </c>
      <c r="B6" s="8">
        <v>29</v>
      </c>
      <c r="C6" s="8"/>
      <c r="D6" s="8">
        <v>60</v>
      </c>
      <c r="E6" s="8">
        <v>2</v>
      </c>
      <c r="M6" s="92" t="e">
        <f ca="1"/>
        <v>#NAME?</v>
      </c>
      <c r="N6" s="8" t="e">
        <f ca="1"/>
        <v>#NAME?</v>
      </c>
      <c r="O6" s="93" t="e">
        <f ca="1"/>
        <v>#NAME?</v>
      </c>
    </row>
    <row r="7" spans="1:19" x14ac:dyDescent="0.25">
      <c r="A7" s="8">
        <v>22</v>
      </c>
      <c r="B7" s="8">
        <v>12</v>
      </c>
      <c r="C7" s="8"/>
      <c r="D7" s="8">
        <v>80</v>
      </c>
      <c r="E7" s="8">
        <v>3</v>
      </c>
      <c r="M7" s="92" t="e">
        <f ca="1"/>
        <v>#NAME?</v>
      </c>
      <c r="N7" s="8" t="e">
        <f ca="1"/>
        <v>#NAME?</v>
      </c>
      <c r="O7" s="93" t="e">
        <f ca="1"/>
        <v>#NAME?</v>
      </c>
      <c r="Q7" s="168" t="s">
        <v>248</v>
      </c>
      <c r="R7" s="168" t="s">
        <v>99</v>
      </c>
      <c r="S7" s="168" t="s">
        <v>297</v>
      </c>
    </row>
    <row r="8" spans="1:19" x14ac:dyDescent="0.25">
      <c r="A8" s="8">
        <v>7</v>
      </c>
      <c r="B8" s="8">
        <v>72</v>
      </c>
      <c r="C8" s="8"/>
      <c r="D8" s="71" t="s">
        <v>108</v>
      </c>
      <c r="E8" s="11">
        <v>1</v>
      </c>
      <c r="M8" s="92" t="e">
        <f ca="1"/>
        <v>#NAME?</v>
      </c>
      <c r="N8" s="8" t="e">
        <f ca="1"/>
        <v>#NAME?</v>
      </c>
      <c r="O8" s="93" t="e">
        <f ca="1"/>
        <v>#NAME?</v>
      </c>
      <c r="Q8">
        <f t="shared" ref="Q8:Q13" si="0">Q9-$R$5</f>
        <v>0</v>
      </c>
    </row>
    <row r="9" spans="1:19" x14ac:dyDescent="0.25">
      <c r="A9" s="8">
        <v>34</v>
      </c>
      <c r="B9" s="8">
        <v>23</v>
      </c>
      <c r="C9" s="8"/>
      <c r="D9" s="8"/>
      <c r="E9" s="8"/>
      <c r="M9" s="92" t="e">
        <f ca="1"/>
        <v>#NAME?</v>
      </c>
      <c r="N9" s="8" t="e">
        <f ca="1"/>
        <v>#NAME?</v>
      </c>
      <c r="O9" s="93" t="e">
        <f ca="1"/>
        <v>#NAME?</v>
      </c>
      <c r="Q9">
        <f t="shared" si="0"/>
        <v>15</v>
      </c>
      <c r="R9">
        <f t="shared" ref="R9:R14" si="1">S9-S8</f>
        <v>5</v>
      </c>
      <c r="S9">
        <f t="shared" ref="S9:S14" si="2">COUNTIF($A$4:$B$14,"&lt;="&amp;Q9)</f>
        <v>5</v>
      </c>
    </row>
    <row r="10" spans="1:19" x14ac:dyDescent="0.25">
      <c r="A10" s="8">
        <v>9</v>
      </c>
      <c r="B10" s="8">
        <v>10</v>
      </c>
      <c r="C10" s="8"/>
      <c r="D10" s="8"/>
      <c r="E10" s="8"/>
      <c r="M10" s="92" t="e">
        <f ca="1"/>
        <v>#NAME?</v>
      </c>
      <c r="N10" s="8" t="e">
        <f ca="1"/>
        <v>#NAME?</v>
      </c>
      <c r="O10" s="93" t="e">
        <f ca="1"/>
        <v>#NAME?</v>
      </c>
      <c r="Q10">
        <f t="shared" si="0"/>
        <v>30</v>
      </c>
      <c r="R10">
        <f t="shared" si="1"/>
        <v>8</v>
      </c>
      <c r="S10">
        <f t="shared" si="2"/>
        <v>13</v>
      </c>
    </row>
    <row r="11" spans="1:19" x14ac:dyDescent="0.25">
      <c r="A11" s="8">
        <v>66</v>
      </c>
      <c r="B11" s="8">
        <v>14</v>
      </c>
      <c r="C11" s="8"/>
      <c r="D11" s="8"/>
      <c r="E11" s="8"/>
      <c r="M11" s="80" t="e">
        <f ca="1"/>
        <v>#NAME?</v>
      </c>
      <c r="N11" s="162" t="e">
        <f ca="1"/>
        <v>#NAME?</v>
      </c>
      <c r="O11" s="83" t="e">
        <f ca="1"/>
        <v>#NAME?</v>
      </c>
      <c r="Q11">
        <f t="shared" si="0"/>
        <v>45</v>
      </c>
      <c r="R11">
        <f t="shared" si="1"/>
        <v>5</v>
      </c>
      <c r="S11">
        <f t="shared" si="2"/>
        <v>18</v>
      </c>
    </row>
    <row r="12" spans="1:19" x14ac:dyDescent="0.25">
      <c r="A12" s="8">
        <v>29</v>
      </c>
      <c r="B12" s="8">
        <v>23</v>
      </c>
      <c r="C12" s="8"/>
      <c r="D12" s="8"/>
      <c r="E12" s="8"/>
      <c r="Q12">
        <f t="shared" si="0"/>
        <v>60</v>
      </c>
      <c r="R12">
        <f t="shared" si="1"/>
        <v>0</v>
      </c>
      <c r="S12">
        <f t="shared" si="2"/>
        <v>18</v>
      </c>
    </row>
    <row r="13" spans="1:19" x14ac:dyDescent="0.25">
      <c r="A13" s="8">
        <v>67</v>
      </c>
      <c r="B13" s="8">
        <v>24</v>
      </c>
      <c r="C13" s="8"/>
      <c r="D13" s="8"/>
      <c r="E13" s="8"/>
      <c r="Q13">
        <f t="shared" si="0"/>
        <v>75</v>
      </c>
      <c r="R13">
        <f t="shared" si="1"/>
        <v>3</v>
      </c>
      <c r="S13">
        <f t="shared" si="2"/>
        <v>21</v>
      </c>
    </row>
    <row r="14" spans="1:19" x14ac:dyDescent="0.25">
      <c r="A14" s="11">
        <v>44</v>
      </c>
      <c r="B14" s="11">
        <v>90</v>
      </c>
      <c r="C14" s="8"/>
      <c r="D14" s="8"/>
      <c r="E14" s="8"/>
      <c r="Q14" s="162">
        <f>MAX(A4:B14)</f>
        <v>90</v>
      </c>
      <c r="R14" s="162">
        <f t="shared" si="1"/>
        <v>1</v>
      </c>
      <c r="S14" s="162">
        <f t="shared" si="2"/>
        <v>22</v>
      </c>
    </row>
    <row r="15" spans="1:19" x14ac:dyDescent="0.25">
      <c r="A15" s="8"/>
      <c r="B15" s="8"/>
      <c r="C15" s="8"/>
      <c r="D15" s="8"/>
      <c r="E15" s="8"/>
    </row>
    <row r="16" spans="1:19" x14ac:dyDescent="0.25">
      <c r="A16" s="1" t="s">
        <v>109</v>
      </c>
      <c r="B16" s="1"/>
      <c r="C16" s="1"/>
      <c r="D16" s="1"/>
      <c r="E16" s="1"/>
    </row>
    <row r="17" spans="1:19" ht="15.75" thickBot="1" x14ac:dyDescent="0.3"/>
    <row r="18" spans="1:19" x14ac:dyDescent="0.25">
      <c r="A18" s="26" t="s">
        <v>110</v>
      </c>
      <c r="B18" s="26" t="s">
        <v>106</v>
      </c>
    </row>
    <row r="19" spans="1:19" x14ac:dyDescent="0.25">
      <c r="A19" s="28">
        <v>20</v>
      </c>
      <c r="B19" s="27">
        <v>6</v>
      </c>
    </row>
    <row r="20" spans="1:19" x14ac:dyDescent="0.25">
      <c r="A20" s="28">
        <v>40</v>
      </c>
      <c r="B20" s="27">
        <v>10</v>
      </c>
    </row>
    <row r="21" spans="1:19" x14ac:dyDescent="0.25">
      <c r="A21" s="28">
        <v>60</v>
      </c>
      <c r="B21" s="27">
        <v>2</v>
      </c>
      <c r="M21" t="s">
        <v>300</v>
      </c>
      <c r="Q21" t="s">
        <v>117</v>
      </c>
    </row>
    <row r="22" spans="1:19" x14ac:dyDescent="0.25">
      <c r="A22" s="28">
        <v>80</v>
      </c>
      <c r="B22" s="27">
        <v>3</v>
      </c>
      <c r="M22" t="s">
        <v>356</v>
      </c>
    </row>
    <row r="23" spans="1:19" ht="15.75" thickBot="1" x14ac:dyDescent="0.3">
      <c r="A23" s="30" t="s">
        <v>111</v>
      </c>
      <c r="B23" s="30">
        <v>1</v>
      </c>
      <c r="Q23" t="s">
        <v>298</v>
      </c>
      <c r="R23">
        <v>15</v>
      </c>
    </row>
    <row r="24" spans="1:19" x14ac:dyDescent="0.25">
      <c r="M24" s="19" t="s">
        <v>248</v>
      </c>
      <c r="N24" s="19" t="s">
        <v>99</v>
      </c>
      <c r="O24" s="19" t="s">
        <v>297</v>
      </c>
    </row>
    <row r="25" spans="1:19" x14ac:dyDescent="0.25">
      <c r="M25" s="154" t="e">
        <f t="array" aca="1" ref="M25:O32" ca="1">FREQTABLE(A4:B14,15,100)</f>
        <v>#NAME?</v>
      </c>
      <c r="N25" s="169" t="e">
        <f ca="1"/>
        <v>#NAME?</v>
      </c>
      <c r="O25" s="156" t="e">
        <f ca="1"/>
        <v>#NAME?</v>
      </c>
      <c r="Q25" s="190" t="s">
        <v>248</v>
      </c>
      <c r="R25" s="190" t="s">
        <v>99</v>
      </c>
      <c r="S25" s="190" t="s">
        <v>297</v>
      </c>
    </row>
    <row r="26" spans="1:19" x14ac:dyDescent="0.25">
      <c r="M26" s="92" t="e">
        <f ca="1"/>
        <v>#NAME?</v>
      </c>
      <c r="N26" s="8" t="e">
        <f ca="1"/>
        <v>#NAME?</v>
      </c>
      <c r="O26" s="93" t="e">
        <f ca="1"/>
        <v>#NAME?</v>
      </c>
      <c r="Q26">
        <f t="shared" ref="Q26:Q31" si="3">Q27-$R$23</f>
        <v>-5</v>
      </c>
    </row>
    <row r="27" spans="1:19" x14ac:dyDescent="0.25">
      <c r="M27" s="92" t="e">
        <f ca="1"/>
        <v>#NAME?</v>
      </c>
      <c r="N27" s="8" t="e">
        <f ca="1"/>
        <v>#NAME?</v>
      </c>
      <c r="O27" s="93" t="e">
        <f ca="1"/>
        <v>#NAME?</v>
      </c>
      <c r="Q27">
        <f t="shared" si="3"/>
        <v>10</v>
      </c>
      <c r="R27">
        <f>S27-S26</f>
        <v>3</v>
      </c>
      <c r="S27">
        <f>COUNTIF($A$4:$B$14,"&lt;="&amp;Q27)</f>
        <v>3</v>
      </c>
    </row>
    <row r="28" spans="1:19" x14ac:dyDescent="0.25">
      <c r="M28" s="92" t="e">
        <f ca="1"/>
        <v>#NAME?</v>
      </c>
      <c r="N28" s="8" t="e">
        <f ca="1"/>
        <v>#NAME?</v>
      </c>
      <c r="O28" s="93" t="e">
        <f ca="1"/>
        <v>#NAME?</v>
      </c>
      <c r="Q28">
        <f t="shared" si="3"/>
        <v>25</v>
      </c>
      <c r="R28">
        <f t="shared" ref="R28:R33" si="4">S28-S27</f>
        <v>8</v>
      </c>
      <c r="S28">
        <f t="shared" ref="S28:S33" si="5">COUNTIF($A$4:$B$14,"&lt;="&amp;Q28)</f>
        <v>11</v>
      </c>
    </row>
    <row r="29" spans="1:19" x14ac:dyDescent="0.25">
      <c r="M29" s="92" t="e">
        <f ca="1"/>
        <v>#NAME?</v>
      </c>
      <c r="N29" s="8" t="e">
        <f ca="1"/>
        <v>#NAME?</v>
      </c>
      <c r="O29" s="93" t="e">
        <f ca="1"/>
        <v>#NAME?</v>
      </c>
      <c r="Q29">
        <f t="shared" si="3"/>
        <v>40</v>
      </c>
      <c r="R29">
        <f t="shared" si="4"/>
        <v>5</v>
      </c>
      <c r="S29">
        <f t="shared" si="5"/>
        <v>16</v>
      </c>
    </row>
    <row r="30" spans="1:19" x14ac:dyDescent="0.25">
      <c r="M30" s="92" t="e">
        <f ca="1"/>
        <v>#NAME?</v>
      </c>
      <c r="N30" s="8" t="e">
        <f ca="1"/>
        <v>#NAME?</v>
      </c>
      <c r="O30" s="93" t="e">
        <f ca="1"/>
        <v>#NAME?</v>
      </c>
      <c r="Q30">
        <f t="shared" si="3"/>
        <v>55</v>
      </c>
      <c r="R30">
        <f t="shared" si="4"/>
        <v>2</v>
      </c>
      <c r="S30">
        <f t="shared" si="5"/>
        <v>18</v>
      </c>
    </row>
    <row r="31" spans="1:19" x14ac:dyDescent="0.25">
      <c r="M31" s="92" t="e">
        <f ca="1"/>
        <v>#NAME?</v>
      </c>
      <c r="N31" s="8" t="e">
        <f ca="1"/>
        <v>#NAME?</v>
      </c>
      <c r="O31" s="93" t="e">
        <f ca="1"/>
        <v>#NAME?</v>
      </c>
      <c r="Q31">
        <f t="shared" si="3"/>
        <v>70</v>
      </c>
      <c r="R31">
        <f t="shared" si="4"/>
        <v>2</v>
      </c>
      <c r="S31">
        <f t="shared" si="5"/>
        <v>20</v>
      </c>
    </row>
    <row r="32" spans="1:19" x14ac:dyDescent="0.25">
      <c r="M32" s="80" t="e">
        <f ca="1"/>
        <v>#NAME?</v>
      </c>
      <c r="N32" s="162" t="e">
        <f ca="1"/>
        <v>#NAME?</v>
      </c>
      <c r="O32" s="83" t="e">
        <f ca="1"/>
        <v>#NAME?</v>
      </c>
      <c r="Q32">
        <f>Q33-$R$23</f>
        <v>85</v>
      </c>
      <c r="R32">
        <f t="shared" si="4"/>
        <v>1</v>
      </c>
      <c r="S32">
        <f t="shared" si="5"/>
        <v>21</v>
      </c>
    </row>
    <row r="33" spans="17:19" x14ac:dyDescent="0.25">
      <c r="Q33" s="162">
        <v>100</v>
      </c>
      <c r="R33" s="162">
        <f t="shared" si="4"/>
        <v>1</v>
      </c>
      <c r="S33" s="162">
        <f t="shared" si="5"/>
        <v>22</v>
      </c>
    </row>
  </sheetData>
  <sortState ref="M6:M9">
    <sortCondition ref="M6"/>
  </sortState>
  <mergeCells count="1">
    <mergeCell ref="A3:B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N29"/>
  <sheetViews>
    <sheetView topLeftCell="A15" workbookViewId="0"/>
  </sheetViews>
  <sheetFormatPr defaultRowHeight="15" x14ac:dyDescent="0.25"/>
  <sheetData>
    <row r="1" spans="1:14" x14ac:dyDescent="0.25">
      <c r="A1" s="1" t="s">
        <v>127</v>
      </c>
      <c r="B1" s="1"/>
      <c r="C1" s="1"/>
      <c r="D1" s="1"/>
      <c r="J1" t="s">
        <v>361</v>
      </c>
    </row>
    <row r="3" spans="1:14" x14ac:dyDescent="0.25">
      <c r="A3" s="38" t="s">
        <v>3</v>
      </c>
      <c r="B3" s="38" t="s">
        <v>4</v>
      </c>
      <c r="C3" s="38" t="s">
        <v>5</v>
      </c>
      <c r="D3" s="19"/>
      <c r="E3" s="19"/>
      <c r="F3" s="38" t="s">
        <v>3</v>
      </c>
      <c r="G3" s="38" t="s">
        <v>4</v>
      </c>
      <c r="H3" s="38" t="s">
        <v>5</v>
      </c>
      <c r="L3" s="38" t="s">
        <v>3</v>
      </c>
      <c r="M3" s="38" t="s">
        <v>4</v>
      </c>
      <c r="N3" s="38" t="s">
        <v>5</v>
      </c>
    </row>
    <row r="4" spans="1:14" x14ac:dyDescent="0.25">
      <c r="A4">
        <v>1020</v>
      </c>
      <c r="B4">
        <v>840</v>
      </c>
      <c r="C4">
        <v>1430</v>
      </c>
      <c r="E4" t="s">
        <v>128</v>
      </c>
      <c r="F4">
        <f>MIN(A4:A13)</f>
        <v>380</v>
      </c>
      <c r="G4">
        <f>MIN(B4:B13)</f>
        <v>300</v>
      </c>
      <c r="H4">
        <f>MIN(C4:C13)</f>
        <v>430</v>
      </c>
      <c r="K4" t="s">
        <v>128</v>
      </c>
      <c r="L4">
        <f>MIN(A4:A13)</f>
        <v>380</v>
      </c>
      <c r="M4">
        <f>MIN(B4:B13)</f>
        <v>300</v>
      </c>
      <c r="N4">
        <f>MIN(C4:C13)</f>
        <v>430</v>
      </c>
    </row>
    <row r="5" spans="1:14" x14ac:dyDescent="0.25">
      <c r="A5">
        <v>1560</v>
      </c>
      <c r="B5">
        <v>940</v>
      </c>
      <c r="C5">
        <v>1750</v>
      </c>
      <c r="E5" t="s">
        <v>129</v>
      </c>
      <c r="F5">
        <f>QUARTILE(A4:A13,1)-F4</f>
        <v>142.5</v>
      </c>
      <c r="G5">
        <f>QUARTILE(B4:B13,1)-G4</f>
        <v>185</v>
      </c>
      <c r="H5">
        <f>QUARTILE(C4:C13,1)-H4</f>
        <v>342.5</v>
      </c>
      <c r="K5" t="s">
        <v>129</v>
      </c>
      <c r="L5">
        <f>QUARTILE(A4:A13,1)-L4</f>
        <v>142.5</v>
      </c>
      <c r="M5">
        <f>QUARTILE(B4:B13,1)-M4</f>
        <v>185</v>
      </c>
      <c r="N5">
        <f>QUARTILE(C4:C13,1)-N4</f>
        <v>342.5</v>
      </c>
    </row>
    <row r="6" spans="1:14" x14ac:dyDescent="0.25">
      <c r="A6">
        <v>560</v>
      </c>
      <c r="B6">
        <v>780</v>
      </c>
      <c r="C6">
        <v>870</v>
      </c>
      <c r="E6" t="s">
        <v>130</v>
      </c>
      <c r="F6">
        <f>MEDIAN(A4:A13)-QUARTILE(A4:A13,1)</f>
        <v>202.5</v>
      </c>
      <c r="G6">
        <f>MEDIAN(B4:B13)-QUARTILE(B4:B13,1)</f>
        <v>220</v>
      </c>
      <c r="H6">
        <f>MEDIAN(C4:C13)-QUARTILE(C4:C13,1)</f>
        <v>132.5</v>
      </c>
      <c r="K6" t="s">
        <v>130</v>
      </c>
      <c r="L6">
        <f>MEDIAN(A4:A13)-QUARTILE(A4:A13,1)</f>
        <v>202.5</v>
      </c>
      <c r="M6">
        <f>MEDIAN(B4:B13)-QUARTILE(B4:B13,1)</f>
        <v>220</v>
      </c>
      <c r="N6">
        <f>MEDIAN(C4:C13)-QUARTILE(C4:C13,1)</f>
        <v>132.5</v>
      </c>
    </row>
    <row r="7" spans="1:14" x14ac:dyDescent="0.25">
      <c r="A7">
        <v>780</v>
      </c>
      <c r="B7">
        <v>650</v>
      </c>
      <c r="C7">
        <v>920</v>
      </c>
      <c r="E7" t="s">
        <v>131</v>
      </c>
      <c r="F7">
        <f>QUARTILE(A4:A13,3)-MEDIAN(A4:A13)</f>
        <v>237.5</v>
      </c>
      <c r="G7">
        <f>QUARTILE(B4:B13,3)-MEDIAN(B4:B13)</f>
        <v>120</v>
      </c>
      <c r="H7">
        <f>QUARTILE(C4:C13,3)-MEDIAN(C4:C13)</f>
        <v>332.5</v>
      </c>
      <c r="K7" t="s">
        <v>131</v>
      </c>
      <c r="L7">
        <f>QUARTILE(A4:A13,3)-MEDIAN(A4:A13)</f>
        <v>237.5</v>
      </c>
      <c r="M7">
        <f>QUARTILE(B4:B13,3)-MEDIAN(B4:B13)</f>
        <v>120</v>
      </c>
      <c r="N7">
        <f>QUARTILE(C4:C13,3)-MEDIAN(C4:C13)</f>
        <v>332.5</v>
      </c>
    </row>
    <row r="8" spans="1:14" x14ac:dyDescent="0.25">
      <c r="A8">
        <v>990</v>
      </c>
      <c r="B8">
        <v>720</v>
      </c>
      <c r="C8">
        <v>1300</v>
      </c>
      <c r="E8" t="s">
        <v>132</v>
      </c>
      <c r="F8">
        <f>MAX(A4:A13)-QUARTILE(A4:A13,3)</f>
        <v>597.5</v>
      </c>
      <c r="G8">
        <f>MAX(B4:B13)-QUARTILE(B4:B13,3)</f>
        <v>1025</v>
      </c>
      <c r="H8">
        <f>MAX(C4:C13)-QUARTILE(C4:C13,3)</f>
        <v>512.5</v>
      </c>
      <c r="K8" t="s">
        <v>132</v>
      </c>
      <c r="L8">
        <f>MAX(A4:A13)-QUARTILE(A4:A13,3)</f>
        <v>597.5</v>
      </c>
      <c r="M8">
        <f>MAX(B4:B13)-QUARTILE(B4:B13,3)</f>
        <v>1025</v>
      </c>
      <c r="N8">
        <f>MAX(C4:C13)-QUARTILE(C4:C13,3)</f>
        <v>512.5</v>
      </c>
    </row>
    <row r="9" spans="1:14" x14ac:dyDescent="0.25">
      <c r="A9">
        <v>670</v>
      </c>
      <c r="B9">
        <v>430</v>
      </c>
      <c r="C9">
        <v>890</v>
      </c>
      <c r="E9" t="s">
        <v>75</v>
      </c>
      <c r="F9" s="162">
        <f>AVERAGE(A4:A13)</f>
        <v>784</v>
      </c>
      <c r="G9" s="162">
        <f>AVERAGE(B4:B13)</f>
        <v>756</v>
      </c>
      <c r="H9" s="162">
        <f>AVERAGE(C4:C13)</f>
        <v>1010</v>
      </c>
    </row>
    <row r="10" spans="1:14" x14ac:dyDescent="0.25">
      <c r="A10">
        <v>510</v>
      </c>
      <c r="B10">
        <v>1850</v>
      </c>
      <c r="C10">
        <v>740</v>
      </c>
    </row>
    <row r="11" spans="1:14" x14ac:dyDescent="0.25">
      <c r="A11">
        <v>490</v>
      </c>
      <c r="B11">
        <v>300</v>
      </c>
      <c r="C11">
        <v>720</v>
      </c>
    </row>
    <row r="12" spans="1:14" x14ac:dyDescent="0.25">
      <c r="A12">
        <v>380</v>
      </c>
      <c r="B12">
        <v>360</v>
      </c>
      <c r="C12">
        <v>430</v>
      </c>
    </row>
    <row r="13" spans="1:14" x14ac:dyDescent="0.25">
      <c r="A13" s="11">
        <v>880</v>
      </c>
      <c r="B13" s="11">
        <v>690</v>
      </c>
      <c r="C13" s="11">
        <v>1050</v>
      </c>
    </row>
    <row r="19" spans="5:10" x14ac:dyDescent="0.25">
      <c r="J19" t="s">
        <v>428</v>
      </c>
    </row>
    <row r="21" spans="5:10" x14ac:dyDescent="0.25">
      <c r="E21" t="s">
        <v>257</v>
      </c>
    </row>
    <row r="23" spans="5:10" x14ac:dyDescent="0.25">
      <c r="F23" s="65" t="str">
        <f>A3</f>
        <v>Brand A</v>
      </c>
      <c r="G23" s="65" t="str">
        <f>B3</f>
        <v>Brand B</v>
      </c>
      <c r="H23" s="65" t="str">
        <f>C3</f>
        <v>Brand C</v>
      </c>
    </row>
    <row r="24" spans="5:10" x14ac:dyDescent="0.25">
      <c r="E24" t="s">
        <v>128</v>
      </c>
      <c r="F24" s="196">
        <f>MIN(A4:A13)</f>
        <v>380</v>
      </c>
      <c r="G24" s="194">
        <f>MIN(B4:B13)</f>
        <v>300</v>
      </c>
      <c r="H24" s="197">
        <f>MIN(C4:C13)</f>
        <v>430</v>
      </c>
    </row>
    <row r="25" spans="5:10" x14ac:dyDescent="0.25">
      <c r="E25" t="s">
        <v>129</v>
      </c>
      <c r="F25" s="92">
        <f>_xlfn.QUARTILE.EXC(A4:A13,1)-F24</f>
        <v>125</v>
      </c>
      <c r="G25" s="8">
        <f>_xlfn.QUARTILE.EXC(B4:B13,1)-G24</f>
        <v>112.5</v>
      </c>
      <c r="H25" s="93">
        <f>_xlfn.QUARTILE.EXC(C4:C13,1)-H24</f>
        <v>305</v>
      </c>
    </row>
    <row r="26" spans="5:10" x14ac:dyDescent="0.25">
      <c r="E26" t="s">
        <v>130</v>
      </c>
      <c r="F26" s="92">
        <f>MEDIAN(A4:A13)-_xlfn.QUARTILE.EXC(A4:A13,1)</f>
        <v>220</v>
      </c>
      <c r="G26" s="8">
        <f>MEDIAN(B4:B13)-_xlfn.QUARTILE.EXC(B4:B13,1)</f>
        <v>292.5</v>
      </c>
      <c r="H26" s="93">
        <f>MEDIAN(C4:C13)-_xlfn.QUARTILE.EXC(C4:C13,1)</f>
        <v>170</v>
      </c>
    </row>
    <row r="27" spans="5:10" x14ac:dyDescent="0.25">
      <c r="E27" t="s">
        <v>131</v>
      </c>
      <c r="F27" s="92">
        <f>_xlfn.QUARTILE.EXC(A4:A13,3)-MEDIAN(A4:A13)</f>
        <v>272.5</v>
      </c>
      <c r="G27" s="8">
        <f>_xlfn.QUARTILE.EXC(B4:B13,3)-MEDIAN(B4:B13)</f>
        <v>160</v>
      </c>
      <c r="H27" s="93">
        <f>_xlfn.QUARTILE.EXC(C4:C13,3)-MEDIAN(C4:C13)</f>
        <v>427.5</v>
      </c>
    </row>
    <row r="28" spans="5:10" x14ac:dyDescent="0.25">
      <c r="E28" t="s">
        <v>132</v>
      </c>
      <c r="F28" s="92">
        <f>MAX(A4:A13)-_xlfn.QUARTILE.EXC(A4:A13,3)</f>
        <v>562.5</v>
      </c>
      <c r="G28" s="8">
        <f>MAX(B4:B13)-_xlfn.QUARTILE.EXC(B4:B13,3)</f>
        <v>985</v>
      </c>
      <c r="H28" s="93">
        <f>MAX(C4:C13)-_xlfn.QUARTILE.EXC(C4:C13,3)</f>
        <v>417.5</v>
      </c>
    </row>
    <row r="29" spans="5:10" x14ac:dyDescent="0.25">
      <c r="E29" t="s">
        <v>75</v>
      </c>
      <c r="F29" s="80">
        <f>AVERAGE(A4:A13)</f>
        <v>784</v>
      </c>
      <c r="G29" s="162">
        <f>AVERAGE(B4:B13)</f>
        <v>756</v>
      </c>
      <c r="H29" s="83">
        <f>AVERAGE(C4:C13)</f>
        <v>1010</v>
      </c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27"/>
  <sheetViews>
    <sheetView workbookViewId="0">
      <selection activeCell="F27" sqref="F27:H27"/>
    </sheetView>
  </sheetViews>
  <sheetFormatPr defaultRowHeight="15" x14ac:dyDescent="0.25"/>
  <sheetData>
    <row r="1" spans="1:8" x14ac:dyDescent="0.25">
      <c r="A1" s="1" t="s">
        <v>133</v>
      </c>
      <c r="B1" s="1"/>
      <c r="C1" s="1"/>
      <c r="D1" s="1"/>
      <c r="F1" t="s">
        <v>361</v>
      </c>
    </row>
    <row r="3" spans="1:8" x14ac:dyDescent="0.25">
      <c r="A3" s="38" t="s">
        <v>3</v>
      </c>
      <c r="B3" s="38" t="s">
        <v>4</v>
      </c>
      <c r="C3" s="38" t="s">
        <v>5</v>
      </c>
      <c r="D3" s="19"/>
      <c r="E3" s="19"/>
      <c r="F3" s="38" t="s">
        <v>3</v>
      </c>
      <c r="G3" s="38" t="s">
        <v>4</v>
      </c>
      <c r="H3" s="38" t="s">
        <v>5</v>
      </c>
    </row>
    <row r="4" spans="1:8" x14ac:dyDescent="0.25">
      <c r="A4">
        <v>1020</v>
      </c>
      <c r="B4">
        <v>840</v>
      </c>
      <c r="C4">
        <v>1430</v>
      </c>
      <c r="E4" t="s">
        <v>134</v>
      </c>
      <c r="F4">
        <f>QUARTILE(A4:A13,1)</f>
        <v>522.5</v>
      </c>
      <c r="G4">
        <f>QUARTILE(B4:B13,1)</f>
        <v>485</v>
      </c>
      <c r="H4">
        <f>QUARTILE(C4:C13,1)</f>
        <v>772.5</v>
      </c>
    </row>
    <row r="5" spans="1:8" x14ac:dyDescent="0.25">
      <c r="A5">
        <v>1560</v>
      </c>
      <c r="B5">
        <v>940</v>
      </c>
      <c r="C5">
        <v>1750</v>
      </c>
      <c r="E5" t="s">
        <v>130</v>
      </c>
      <c r="F5">
        <f>MEDIAN(A4:A13)-F4</f>
        <v>202.5</v>
      </c>
      <c r="G5">
        <f>MEDIAN(B4:B13)-G4</f>
        <v>220</v>
      </c>
      <c r="H5">
        <f>MEDIAN(C4:C13)-H4</f>
        <v>132.5</v>
      </c>
    </row>
    <row r="6" spans="1:8" x14ac:dyDescent="0.25">
      <c r="A6">
        <v>560</v>
      </c>
      <c r="B6">
        <v>780</v>
      </c>
      <c r="C6">
        <v>870</v>
      </c>
      <c r="E6" t="s">
        <v>131</v>
      </c>
      <c r="F6">
        <f>QUARTILE(A4:A13,3)-MEDIAN(A4:A13)</f>
        <v>237.5</v>
      </c>
      <c r="G6">
        <f>QUARTILE(B4:B13,3)-MEDIAN(B4:B13)</f>
        <v>120</v>
      </c>
      <c r="H6">
        <f>QUARTILE(C4:C13,3)-MEDIAN(C4:C13)</f>
        <v>332.5</v>
      </c>
    </row>
    <row r="7" spans="1:8" x14ac:dyDescent="0.25">
      <c r="A7">
        <v>780</v>
      </c>
      <c r="B7">
        <v>650</v>
      </c>
      <c r="C7">
        <v>920</v>
      </c>
      <c r="E7" t="s">
        <v>129</v>
      </c>
      <c r="F7">
        <f>F4-MIN(A4:A13)</f>
        <v>142.5</v>
      </c>
      <c r="G7">
        <f>G4-MIN(B4:B13)</f>
        <v>785</v>
      </c>
      <c r="H7">
        <f>H4-MIN(C4:C13)</f>
        <v>342.5</v>
      </c>
    </row>
    <row r="8" spans="1:8" x14ac:dyDescent="0.25">
      <c r="A8">
        <v>990</v>
      </c>
      <c r="B8">
        <v>720</v>
      </c>
      <c r="C8">
        <v>1300</v>
      </c>
      <c r="E8" t="s">
        <v>132</v>
      </c>
      <c r="F8" s="334">
        <f>MAX(A4:A13)-QUARTILE(A4:A13,3)</f>
        <v>597.5</v>
      </c>
      <c r="G8" s="334">
        <f>MAX(B4:B13)-QUARTILE(B4:B13,3)</f>
        <v>1025</v>
      </c>
      <c r="H8" s="334">
        <f>MAX(C4:C13)-QUARTILE(C4:C13,3)</f>
        <v>512.5</v>
      </c>
    </row>
    <row r="9" spans="1:8" x14ac:dyDescent="0.25">
      <c r="A9">
        <v>670</v>
      </c>
      <c r="B9">
        <v>430</v>
      </c>
      <c r="C9">
        <v>890</v>
      </c>
    </row>
    <row r="10" spans="1:8" x14ac:dyDescent="0.25">
      <c r="A10">
        <v>510</v>
      </c>
      <c r="B10">
        <v>1850</v>
      </c>
      <c r="C10">
        <v>740</v>
      </c>
    </row>
    <row r="11" spans="1:8" x14ac:dyDescent="0.25">
      <c r="A11">
        <v>490</v>
      </c>
      <c r="B11">
        <v>-300</v>
      </c>
      <c r="C11">
        <v>720</v>
      </c>
    </row>
    <row r="12" spans="1:8" x14ac:dyDescent="0.25">
      <c r="A12">
        <v>380</v>
      </c>
      <c r="B12">
        <v>360</v>
      </c>
      <c r="C12">
        <v>430</v>
      </c>
    </row>
    <row r="13" spans="1:8" x14ac:dyDescent="0.25">
      <c r="A13" s="11">
        <v>880</v>
      </c>
      <c r="B13" s="11">
        <v>690</v>
      </c>
      <c r="C13" s="11">
        <v>1050</v>
      </c>
    </row>
    <row r="20" spans="5:8" x14ac:dyDescent="0.25">
      <c r="F20" t="s">
        <v>362</v>
      </c>
    </row>
    <row r="22" spans="5:8" x14ac:dyDescent="0.25">
      <c r="E22" s="19"/>
      <c r="F22" s="38" t="s">
        <v>3</v>
      </c>
      <c r="G22" s="38" t="s">
        <v>4</v>
      </c>
      <c r="H22" s="38" t="s">
        <v>5</v>
      </c>
    </row>
    <row r="23" spans="5:8" x14ac:dyDescent="0.25">
      <c r="E23" t="s">
        <v>134</v>
      </c>
      <c r="F23">
        <f>_xlfn.QUARTILE.EXC(A4:A13,1)</f>
        <v>505</v>
      </c>
      <c r="G23">
        <f>_xlfn.QUARTILE.EXC(B4:B13,1)</f>
        <v>412.5</v>
      </c>
      <c r="H23">
        <f>_xlfn.QUARTILE.EXC(C4:C13,1)</f>
        <v>735</v>
      </c>
    </row>
    <row r="24" spans="5:8" x14ac:dyDescent="0.25">
      <c r="E24" t="s">
        <v>130</v>
      </c>
      <c r="F24">
        <f>MEDIAN(A4:A13)-F23</f>
        <v>220</v>
      </c>
      <c r="G24">
        <f>MEDIAN(B4:B13)-G23</f>
        <v>292.5</v>
      </c>
      <c r="H24">
        <f>MEDIAN(C4:C13)-H23</f>
        <v>170</v>
      </c>
    </row>
    <row r="25" spans="5:8" x14ac:dyDescent="0.25">
      <c r="E25" t="s">
        <v>131</v>
      </c>
      <c r="F25">
        <f>_xlfn.QUARTILE.EXC(A4:A13,3)-MEDIAN(A4:A13)</f>
        <v>272.5</v>
      </c>
      <c r="G25">
        <f>_xlfn.QUARTILE.EXC(B4:B13,3)-MEDIAN(B4:B13)</f>
        <v>160</v>
      </c>
      <c r="H25">
        <f>_xlfn.QUARTILE.EXC(C4:C13,3)-MEDIAN(C4:C13)</f>
        <v>427.5</v>
      </c>
    </row>
    <row r="26" spans="5:8" x14ac:dyDescent="0.25">
      <c r="E26" t="s">
        <v>129</v>
      </c>
      <c r="F26">
        <f>F23-MIN(A4:A13)</f>
        <v>125</v>
      </c>
      <c r="G26">
        <f>G23-MIN(B4:B13)</f>
        <v>712.5</v>
      </c>
      <c r="H26">
        <f>H23-MIN(C4:C13)</f>
        <v>305</v>
      </c>
    </row>
    <row r="27" spans="5:8" x14ac:dyDescent="0.25">
      <c r="E27" t="s">
        <v>132</v>
      </c>
      <c r="F27" s="334">
        <f>MAX(A4:A13)-_xlfn.QUARTILE.EXC(A4:A13,3)</f>
        <v>562.5</v>
      </c>
      <c r="G27" s="334">
        <f>MAX(B4:B13)-_xlfn.QUARTILE.EXC(B4:B13,3)</f>
        <v>985</v>
      </c>
      <c r="H27" s="334">
        <f>MAX(C4:C13)-_xlfn.QUARTILE.EXC(C4:C13,3)</f>
        <v>417.5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H29"/>
  <sheetViews>
    <sheetView topLeftCell="A13" workbookViewId="0"/>
  </sheetViews>
  <sheetFormatPr defaultRowHeight="15" x14ac:dyDescent="0.25"/>
  <cols>
    <col min="5" max="5" width="9.7109375" customWidth="1"/>
  </cols>
  <sheetData>
    <row r="1" spans="1:8" x14ac:dyDescent="0.25">
      <c r="A1" s="1" t="s">
        <v>518</v>
      </c>
      <c r="B1" s="1"/>
      <c r="C1" s="1"/>
      <c r="D1" s="1"/>
    </row>
    <row r="3" spans="1:8" x14ac:dyDescent="0.25">
      <c r="A3" s="38" t="s">
        <v>3</v>
      </c>
      <c r="B3" s="38" t="s">
        <v>4</v>
      </c>
      <c r="C3" s="38" t="s">
        <v>5</v>
      </c>
      <c r="D3" s="19"/>
      <c r="E3" t="s">
        <v>257</v>
      </c>
    </row>
    <row r="4" spans="1:8" x14ac:dyDescent="0.25">
      <c r="A4">
        <v>1020</v>
      </c>
      <c r="B4">
        <v>840</v>
      </c>
      <c r="C4">
        <v>1430</v>
      </c>
    </row>
    <row r="5" spans="1:8" x14ac:dyDescent="0.25">
      <c r="A5">
        <v>1560</v>
      </c>
      <c r="B5">
        <v>940</v>
      </c>
      <c r="C5">
        <v>1750</v>
      </c>
      <c r="F5" s="65" t="str">
        <f>A3</f>
        <v>Brand A</v>
      </c>
      <c r="G5" s="65" t="str">
        <f>B3</f>
        <v>Brand B</v>
      </c>
      <c r="H5" s="65" t="str">
        <f>C3</f>
        <v>Brand C</v>
      </c>
    </row>
    <row r="6" spans="1:8" x14ac:dyDescent="0.25">
      <c r="A6">
        <v>560</v>
      </c>
      <c r="B6">
        <v>780</v>
      </c>
      <c r="C6">
        <v>870</v>
      </c>
      <c r="E6" t="s">
        <v>128</v>
      </c>
      <c r="F6" s="283">
        <f>MIN(A4:A13)-$F$13</f>
        <v>680</v>
      </c>
      <c r="G6" s="284">
        <f>MIN(B4:B13)-$F$13</f>
        <v>0</v>
      </c>
      <c r="H6" s="285">
        <f>MIN(C4:C13)-$F$13</f>
        <v>730</v>
      </c>
    </row>
    <row r="7" spans="1:8" x14ac:dyDescent="0.25">
      <c r="A7">
        <v>780</v>
      </c>
      <c r="B7">
        <v>650</v>
      </c>
      <c r="C7">
        <v>920</v>
      </c>
      <c r="E7" t="s">
        <v>129</v>
      </c>
      <c r="F7" s="90">
        <f>_xlfn.QUARTILE.EXC(A4:A13,1)-F6-$F$13</f>
        <v>125</v>
      </c>
      <c r="G7" s="8">
        <f>_xlfn.QUARTILE.EXC(B4:B13,1)-G6-$F$13</f>
        <v>712.5</v>
      </c>
      <c r="H7" s="57">
        <f>_xlfn.QUARTILE.EXC(C4:C13,1)-H6-$F$13</f>
        <v>305</v>
      </c>
    </row>
    <row r="8" spans="1:8" x14ac:dyDescent="0.25">
      <c r="A8">
        <v>990</v>
      </c>
      <c r="B8">
        <v>720</v>
      </c>
      <c r="C8">
        <v>1300</v>
      </c>
      <c r="E8" t="s">
        <v>130</v>
      </c>
      <c r="F8" s="90">
        <f>MEDIAN(A4:A13)-_xlfn.QUARTILE.EXC(A4:A13,1)</f>
        <v>220</v>
      </c>
      <c r="G8" s="8">
        <f>MEDIAN(B4:B13)-_xlfn.QUARTILE.EXC(B4:B13,1)</f>
        <v>292.5</v>
      </c>
      <c r="H8" s="57">
        <f>MEDIAN(C4:C13)-_xlfn.QUARTILE.EXC(C4:C13,1)</f>
        <v>170</v>
      </c>
    </row>
    <row r="9" spans="1:8" x14ac:dyDescent="0.25">
      <c r="A9">
        <v>670</v>
      </c>
      <c r="B9">
        <v>430</v>
      </c>
      <c r="C9">
        <v>890</v>
      </c>
      <c r="E9" t="s">
        <v>131</v>
      </c>
      <c r="F9" s="90">
        <f>_xlfn.QUARTILE.EXC(A4:A13,3)-MEDIAN(A4:A13)</f>
        <v>272.5</v>
      </c>
      <c r="G9" s="8">
        <f>_xlfn.QUARTILE.EXC(B4:B13,3)-MEDIAN(B4:B13)</f>
        <v>160</v>
      </c>
      <c r="H9" s="57">
        <f>_xlfn.QUARTILE.EXC(C4:C13,3)-MEDIAN(C4:C13)</f>
        <v>427.5</v>
      </c>
    </row>
    <row r="10" spans="1:8" x14ac:dyDescent="0.25">
      <c r="A10">
        <v>510</v>
      </c>
      <c r="B10">
        <v>1850</v>
      </c>
      <c r="C10">
        <v>740</v>
      </c>
      <c r="E10" t="s">
        <v>132</v>
      </c>
      <c r="F10" s="90">
        <f>MAX(A4:A13)-_xlfn.QUARTILE.EXC(A4:A13,3)</f>
        <v>562.5</v>
      </c>
      <c r="G10" s="8">
        <f>MAX(B4:B13)-_xlfn.QUARTILE.EXC(B4:B13,3)</f>
        <v>985</v>
      </c>
      <c r="H10" s="57">
        <f>MAX(C4:C13)-_xlfn.QUARTILE.EXC(C4:C13,3)</f>
        <v>417.5</v>
      </c>
    </row>
    <row r="11" spans="1:8" x14ac:dyDescent="0.25">
      <c r="A11">
        <v>490</v>
      </c>
      <c r="B11">
        <v>-300</v>
      </c>
      <c r="C11">
        <v>720</v>
      </c>
      <c r="E11" t="s">
        <v>75</v>
      </c>
      <c r="F11" s="159">
        <f>AVERAGE(A4:A13)-$F$13</f>
        <v>1084</v>
      </c>
      <c r="G11" s="160">
        <f>AVERAGE(B4:B13)-$F$13</f>
        <v>996</v>
      </c>
      <c r="H11" s="161">
        <f>AVERAGE(C4:C13)-$F$13</f>
        <v>1310</v>
      </c>
    </row>
    <row r="12" spans="1:8" x14ac:dyDescent="0.25">
      <c r="A12">
        <v>380</v>
      </c>
      <c r="B12">
        <v>360</v>
      </c>
      <c r="C12">
        <v>430</v>
      </c>
    </row>
    <row r="13" spans="1:8" x14ac:dyDescent="0.25">
      <c r="A13" s="11">
        <v>880</v>
      </c>
      <c r="B13" s="11">
        <v>690</v>
      </c>
      <c r="C13" s="11">
        <v>1050</v>
      </c>
      <c r="E13" t="s">
        <v>495</v>
      </c>
      <c r="F13" s="282">
        <f>MIN(A4:C13)</f>
        <v>-300</v>
      </c>
    </row>
    <row r="19" spans="5:8" x14ac:dyDescent="0.25">
      <c r="E19" t="s">
        <v>257</v>
      </c>
    </row>
    <row r="21" spans="5:8" x14ac:dyDescent="0.25">
      <c r="F21" s="65" t="str">
        <f>A3</f>
        <v>Brand A</v>
      </c>
      <c r="G21" s="65" t="str">
        <f>B3</f>
        <v>Brand B</v>
      </c>
      <c r="H21" s="65" t="str">
        <f>C3</f>
        <v>Brand C</v>
      </c>
    </row>
    <row r="22" spans="5:8" x14ac:dyDescent="0.25">
      <c r="E22" t="s">
        <v>128</v>
      </c>
      <c r="F22" s="283">
        <f>MIN(A4:A13)-$F$29</f>
        <v>680</v>
      </c>
      <c r="G22" s="284">
        <f>MIN(B4:B13)-$F$29</f>
        <v>0</v>
      </c>
      <c r="H22" s="285">
        <f>MIN(C4:C13)-$F$29</f>
        <v>730</v>
      </c>
    </row>
    <row r="23" spans="5:8" x14ac:dyDescent="0.25">
      <c r="E23" t="s">
        <v>129</v>
      </c>
      <c r="F23" s="90">
        <f>_xlfn.QUARTILE.EXC(A4:A13,1)-F22-$F$29</f>
        <v>125</v>
      </c>
      <c r="G23" s="8">
        <f>_xlfn.QUARTILE.EXC(B4:B13,1)-G22-$F$29</f>
        <v>712.5</v>
      </c>
      <c r="H23" s="57">
        <f>_xlfn.QUARTILE.EXC(C4:C13,1)-H22-$F$29</f>
        <v>305</v>
      </c>
    </row>
    <row r="24" spans="5:8" x14ac:dyDescent="0.25">
      <c r="E24" t="s">
        <v>130</v>
      </c>
      <c r="F24" s="90">
        <f>MEDIAN(A4:A13)-_xlfn.QUARTILE.EXC(A4:A13,1)</f>
        <v>220</v>
      </c>
      <c r="G24" s="8">
        <f>MEDIAN(B4:B13)-_xlfn.QUARTILE.EXC(B4:B13,1)</f>
        <v>292.5</v>
      </c>
      <c r="H24" s="57">
        <f>MEDIAN(C4:C13)-_xlfn.QUARTILE.EXC(C4:C13,1)</f>
        <v>170</v>
      </c>
    </row>
    <row r="25" spans="5:8" x14ac:dyDescent="0.25">
      <c r="E25" t="s">
        <v>131</v>
      </c>
      <c r="F25" s="90">
        <f>_xlfn.QUARTILE.EXC(A4:A13,3)-MEDIAN(A4:A13)</f>
        <v>272.5</v>
      </c>
      <c r="G25" s="8">
        <f>_xlfn.QUARTILE.EXC(B4:B13,3)-MEDIAN(B4:B13)</f>
        <v>160</v>
      </c>
      <c r="H25" s="57">
        <f>_xlfn.QUARTILE.EXC(C4:C13,3)-MEDIAN(C4:C13)</f>
        <v>427.5</v>
      </c>
    </row>
    <row r="26" spans="5:8" x14ac:dyDescent="0.25">
      <c r="E26" t="s">
        <v>132</v>
      </c>
      <c r="F26" s="90">
        <f>MAX(A4:A13)-_xlfn.QUARTILE.EXC(A4:A13,3)</f>
        <v>562.5</v>
      </c>
      <c r="G26" s="8">
        <f>MAX(B4:B13)-_xlfn.QUARTILE.EXC(B4:B13,3)</f>
        <v>985</v>
      </c>
      <c r="H26" s="57">
        <f>MAX(C4:C13)-_xlfn.QUARTILE.EXC(C4:C13,3)</f>
        <v>417.5</v>
      </c>
    </row>
    <row r="27" spans="5:8" x14ac:dyDescent="0.25">
      <c r="E27" t="s">
        <v>75</v>
      </c>
      <c r="F27" s="159">
        <f>AVERAGE(A4:A13)-$F$29</f>
        <v>1084</v>
      </c>
      <c r="G27" s="160">
        <f>AVERAGE(B4:B13)-$F$29</f>
        <v>996</v>
      </c>
      <c r="H27" s="161">
        <f>AVERAGE(C4:C13)-$F$29</f>
        <v>1310</v>
      </c>
    </row>
    <row r="29" spans="5:8" x14ac:dyDescent="0.25">
      <c r="E29" t="s">
        <v>495</v>
      </c>
      <c r="F29" s="282">
        <f>MIN(A4:C13)</f>
        <v>-300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H21"/>
  <sheetViews>
    <sheetView workbookViewId="0"/>
  </sheetViews>
  <sheetFormatPr defaultRowHeight="15" x14ac:dyDescent="0.25"/>
  <cols>
    <col min="5" max="5" width="10" customWidth="1"/>
    <col min="6" max="8" width="8.28515625" customWidth="1"/>
  </cols>
  <sheetData>
    <row r="1" spans="1:8" x14ac:dyDescent="0.25">
      <c r="A1" s="1" t="s">
        <v>127</v>
      </c>
      <c r="B1" s="1"/>
      <c r="C1" s="1"/>
    </row>
    <row r="2" spans="1:8" x14ac:dyDescent="0.25">
      <c r="E2" t="s">
        <v>257</v>
      </c>
    </row>
    <row r="3" spans="1:8" x14ac:dyDescent="0.25">
      <c r="A3" s="38" t="s">
        <v>3</v>
      </c>
      <c r="B3" s="38" t="s">
        <v>4</v>
      </c>
      <c r="C3" s="38" t="s">
        <v>5</v>
      </c>
    </row>
    <row r="4" spans="1:8" x14ac:dyDescent="0.25">
      <c r="A4">
        <v>1020</v>
      </c>
      <c r="B4">
        <v>840</v>
      </c>
      <c r="C4">
        <v>1430</v>
      </c>
      <c r="F4" s="65" t="str">
        <f>A3</f>
        <v>Brand A</v>
      </c>
      <c r="G4" s="65" t="str">
        <f t="shared" ref="G4:H4" si="0">B3</f>
        <v>Brand B</v>
      </c>
      <c r="H4" s="65" t="str">
        <f t="shared" si="0"/>
        <v>Brand C</v>
      </c>
    </row>
    <row r="5" spans="1:8" x14ac:dyDescent="0.25">
      <c r="A5">
        <v>1560</v>
      </c>
      <c r="B5">
        <v>940</v>
      </c>
      <c r="C5">
        <v>1750</v>
      </c>
      <c r="E5" t="s">
        <v>128</v>
      </c>
      <c r="F5" s="283">
        <f>F12-$F19</f>
        <v>380</v>
      </c>
      <c r="G5" s="284">
        <f t="shared" ref="G5:H5" si="1">G12-$F19</f>
        <v>300</v>
      </c>
      <c r="H5" s="285">
        <f t="shared" si="1"/>
        <v>430</v>
      </c>
    </row>
    <row r="6" spans="1:8" x14ac:dyDescent="0.25">
      <c r="A6">
        <v>560</v>
      </c>
      <c r="B6">
        <v>780</v>
      </c>
      <c r="C6">
        <v>870</v>
      </c>
      <c r="E6" t="s">
        <v>129</v>
      </c>
      <c r="F6" s="90">
        <f>F13-F12</f>
        <v>142.5</v>
      </c>
      <c r="G6" s="8">
        <f t="shared" ref="G6:H6" si="2">G13-G12</f>
        <v>185</v>
      </c>
      <c r="H6" s="57">
        <f t="shared" si="2"/>
        <v>342.5</v>
      </c>
    </row>
    <row r="7" spans="1:8" x14ac:dyDescent="0.25">
      <c r="A7">
        <v>780</v>
      </c>
      <c r="B7">
        <v>650</v>
      </c>
      <c r="C7">
        <v>920</v>
      </c>
      <c r="E7" t="s">
        <v>130</v>
      </c>
      <c r="F7" s="90">
        <f t="shared" ref="F7:H9" si="3">F14-F13</f>
        <v>202.5</v>
      </c>
      <c r="G7" s="8">
        <f t="shared" si="3"/>
        <v>220</v>
      </c>
      <c r="H7" s="57">
        <f t="shared" si="3"/>
        <v>132.5</v>
      </c>
    </row>
    <row r="8" spans="1:8" x14ac:dyDescent="0.25">
      <c r="A8">
        <v>990</v>
      </c>
      <c r="B8">
        <v>720</v>
      </c>
      <c r="C8">
        <v>1300</v>
      </c>
      <c r="E8" t="s">
        <v>131</v>
      </c>
      <c r="F8" s="90">
        <f t="shared" si="3"/>
        <v>237.5</v>
      </c>
      <c r="G8" s="8">
        <f t="shared" si="3"/>
        <v>120</v>
      </c>
      <c r="H8" s="57">
        <f t="shared" si="3"/>
        <v>332.5</v>
      </c>
    </row>
    <row r="9" spans="1:8" x14ac:dyDescent="0.25">
      <c r="A9">
        <v>670</v>
      </c>
      <c r="B9">
        <v>430</v>
      </c>
      <c r="C9">
        <v>890</v>
      </c>
      <c r="E9" t="s">
        <v>132</v>
      </c>
      <c r="F9" s="90">
        <f t="shared" si="3"/>
        <v>597.5</v>
      </c>
      <c r="G9" s="8">
        <f t="shared" si="3"/>
        <v>115</v>
      </c>
      <c r="H9" s="57">
        <f t="shared" si="3"/>
        <v>512.5</v>
      </c>
    </row>
    <row r="10" spans="1:8" x14ac:dyDescent="0.25">
      <c r="A10">
        <v>510</v>
      </c>
      <c r="B10">
        <v>1850</v>
      </c>
      <c r="C10">
        <v>740</v>
      </c>
      <c r="E10" t="s">
        <v>75</v>
      </c>
      <c r="F10" s="159">
        <f>F17-$F19</f>
        <v>784</v>
      </c>
      <c r="G10" s="160">
        <f t="shared" ref="G10:H10" si="4">G17-$F19</f>
        <v>756</v>
      </c>
      <c r="H10" s="161">
        <f t="shared" si="4"/>
        <v>1010</v>
      </c>
    </row>
    <row r="11" spans="1:8" x14ac:dyDescent="0.25">
      <c r="A11">
        <v>490</v>
      </c>
      <c r="B11">
        <v>300</v>
      </c>
      <c r="C11">
        <v>720</v>
      </c>
    </row>
    <row r="12" spans="1:8" x14ac:dyDescent="0.25">
      <c r="A12">
        <v>380</v>
      </c>
      <c r="B12">
        <v>360</v>
      </c>
      <c r="C12">
        <v>430</v>
      </c>
      <c r="E12" t="s">
        <v>128</v>
      </c>
      <c r="F12" s="283">
        <f t="array" ref="F12">MIN(IF(A4:A13&gt;=F13-3*(F15-F13)/2,A4:A13,""))</f>
        <v>380</v>
      </c>
      <c r="G12" s="284">
        <f t="array" ref="G12">MIN(IF(B4:B13&gt;=G13-3*(G15-G13)/2,B4:B13,""))</f>
        <v>300</v>
      </c>
      <c r="H12" s="285">
        <f t="array" ref="H12">MIN(IF(C4:C13&gt;=H13-3*(H15-H13)/2,C4:C13,""))</f>
        <v>430</v>
      </c>
    </row>
    <row r="13" spans="1:8" x14ac:dyDescent="0.25">
      <c r="A13" s="11">
        <v>880</v>
      </c>
      <c r="B13" s="11">
        <v>690</v>
      </c>
      <c r="C13" s="11">
        <v>1050</v>
      </c>
      <c r="E13" t="s">
        <v>134</v>
      </c>
      <c r="F13" s="90">
        <f>QUARTILE(A4:A13,1)</f>
        <v>522.5</v>
      </c>
      <c r="G13" s="8">
        <f>QUARTILE(B4:B13,1)</f>
        <v>485</v>
      </c>
      <c r="H13" s="57">
        <f>QUARTILE(C4:C13,1)</f>
        <v>772.5</v>
      </c>
    </row>
    <row r="14" spans="1:8" x14ac:dyDescent="0.25">
      <c r="E14" t="s">
        <v>77</v>
      </c>
      <c r="F14" s="90">
        <f>MEDIAN(A4:A13)</f>
        <v>725</v>
      </c>
      <c r="G14" s="8">
        <f>MEDIAN(B4:B13)</f>
        <v>705</v>
      </c>
      <c r="H14" s="57">
        <f>MEDIAN(C4:C13)</f>
        <v>905</v>
      </c>
    </row>
    <row r="15" spans="1:8" x14ac:dyDescent="0.25">
      <c r="E15" t="s">
        <v>189</v>
      </c>
      <c r="F15" s="90">
        <f>QUARTILE(A4:A13,3)</f>
        <v>962.5</v>
      </c>
      <c r="G15" s="8">
        <f>QUARTILE(B4:B13,3)</f>
        <v>825</v>
      </c>
      <c r="H15" s="57">
        <f>QUARTILE(C4:C13,3)</f>
        <v>1237.5</v>
      </c>
    </row>
    <row r="16" spans="1:8" x14ac:dyDescent="0.25">
      <c r="E16" t="s">
        <v>515</v>
      </c>
      <c r="F16" s="90">
        <f t="array" ref="F16">MAX(IF(A4:A13&lt;=F15+3*(F15-F13)/2,A4:A13,""))</f>
        <v>1560</v>
      </c>
      <c r="G16" s="8">
        <f t="array" ref="G16">MAX(IF(B4:B13&lt;=G15+3*(G15-G13)/2,B4:B13,""))</f>
        <v>940</v>
      </c>
      <c r="H16" s="57">
        <f t="array" ref="H16">MAX(IF(C4:C13&lt;=H15+3*(H15-H13)/2,C4:C13,""))</f>
        <v>1750</v>
      </c>
    </row>
    <row r="17" spans="5:8" x14ac:dyDescent="0.25">
      <c r="E17" t="s">
        <v>75</v>
      </c>
      <c r="F17" s="159">
        <f>AVERAGE(A4:A13)</f>
        <v>784</v>
      </c>
      <c r="G17" s="160">
        <f>AVERAGE(B4:B13)</f>
        <v>756</v>
      </c>
      <c r="H17" s="161">
        <f>AVERAGE(C4:C13)</f>
        <v>1010</v>
      </c>
    </row>
    <row r="19" spans="5:8" x14ac:dyDescent="0.25">
      <c r="E19" t="s">
        <v>495</v>
      </c>
      <c r="F19" s="282">
        <f>IF(MIN(F12:H12)&gt;=0,0,MIN(F12:H12))</f>
        <v>0</v>
      </c>
    </row>
    <row r="21" spans="5:8" x14ac:dyDescent="0.25">
      <c r="E21" t="s">
        <v>532</v>
      </c>
      <c r="G21">
        <f>B10</f>
        <v>1850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S22"/>
  <sheetViews>
    <sheetView workbookViewId="0">
      <selection activeCell="E12" sqref="E12"/>
    </sheetView>
  </sheetViews>
  <sheetFormatPr defaultRowHeight="15" x14ac:dyDescent="0.25"/>
  <cols>
    <col min="1" max="3" width="9" customWidth="1"/>
    <col min="4" max="4" width="4" customWidth="1"/>
    <col min="5" max="5" width="10.85546875" customWidth="1"/>
    <col min="17" max="19" width="7.7109375" customWidth="1"/>
  </cols>
  <sheetData>
    <row r="1" spans="1:19" x14ac:dyDescent="0.25">
      <c r="A1" s="1" t="s">
        <v>205</v>
      </c>
      <c r="B1" s="1"/>
      <c r="C1" s="1"/>
      <c r="Q1" t="s">
        <v>506</v>
      </c>
    </row>
    <row r="2" spans="1:19" x14ac:dyDescent="0.25">
      <c r="E2" t="s">
        <v>257</v>
      </c>
    </row>
    <row r="3" spans="1:19" x14ac:dyDescent="0.25">
      <c r="A3" s="38" t="s">
        <v>3</v>
      </c>
      <c r="B3" s="38" t="s">
        <v>4</v>
      </c>
      <c r="C3" s="38" t="s">
        <v>5</v>
      </c>
      <c r="Q3" s="38" t="s">
        <v>3</v>
      </c>
      <c r="R3" s="38" t="s">
        <v>4</v>
      </c>
      <c r="S3" s="38" t="s">
        <v>5</v>
      </c>
    </row>
    <row r="4" spans="1:19" x14ac:dyDescent="0.25">
      <c r="A4">
        <v>1020</v>
      </c>
      <c r="B4">
        <v>840</v>
      </c>
      <c r="C4">
        <v>1430</v>
      </c>
      <c r="F4" s="65" t="str">
        <f>A3</f>
        <v>Brand A</v>
      </c>
      <c r="G4" s="65" t="str">
        <f>B3</f>
        <v>Brand B</v>
      </c>
      <c r="H4" s="65" t="str">
        <f>C3</f>
        <v>Brand C</v>
      </c>
      <c r="Q4" t="str">
        <f>IF(A4&gt;F$16,A4,IF(A4&lt;F$12,A4,""))</f>
        <v/>
      </c>
      <c r="R4" t="str">
        <f t="shared" ref="R4:S4" si="0">IF(B4&gt;G$16,B4,IF(B4&lt;G$12,B4,""))</f>
        <v/>
      </c>
      <c r="S4" t="str">
        <f t="shared" si="0"/>
        <v/>
      </c>
    </row>
    <row r="5" spans="1:19" x14ac:dyDescent="0.25">
      <c r="A5">
        <v>1560</v>
      </c>
      <c r="B5">
        <v>940</v>
      </c>
      <c r="C5">
        <v>1750</v>
      </c>
      <c r="E5" t="s">
        <v>128</v>
      </c>
      <c r="F5" s="283">
        <f>F12-$F19</f>
        <v>380</v>
      </c>
      <c r="G5" s="284">
        <f>G12-$F19</f>
        <v>360</v>
      </c>
      <c r="H5" s="285">
        <f>H12-$F19</f>
        <v>430</v>
      </c>
      <c r="Q5" t="str">
        <f t="shared" ref="Q5:Q13" si="1">IF(A5&gt;F$16,A5,IF(A5&lt;F$12,A5,""))</f>
        <v/>
      </c>
      <c r="R5" t="str">
        <f t="shared" ref="R5:R13" si="2">IF(B5&gt;G$16,B5,IF(B5&lt;G$12,B5,""))</f>
        <v/>
      </c>
      <c r="S5" t="str">
        <f t="shared" ref="S5:S13" si="3">IF(C5&gt;H$16,C5,IF(C5&lt;H$12,C5,""))</f>
        <v/>
      </c>
    </row>
    <row r="6" spans="1:19" x14ac:dyDescent="0.25">
      <c r="A6">
        <v>560</v>
      </c>
      <c r="B6">
        <v>780</v>
      </c>
      <c r="C6">
        <v>870</v>
      </c>
      <c r="E6" t="s">
        <v>129</v>
      </c>
      <c r="F6" s="90">
        <f>F13-F12</f>
        <v>142.5</v>
      </c>
      <c r="G6" s="8">
        <f t="shared" ref="G6:H6" si="4">G13-G12</f>
        <v>125</v>
      </c>
      <c r="H6" s="57">
        <f t="shared" si="4"/>
        <v>342.5</v>
      </c>
      <c r="Q6" t="str">
        <f t="shared" si="1"/>
        <v/>
      </c>
      <c r="R6" t="str">
        <f t="shared" si="2"/>
        <v/>
      </c>
      <c r="S6" t="str">
        <f t="shared" si="3"/>
        <v/>
      </c>
    </row>
    <row r="7" spans="1:19" x14ac:dyDescent="0.25">
      <c r="A7">
        <v>780</v>
      </c>
      <c r="B7">
        <v>650</v>
      </c>
      <c r="C7">
        <v>920</v>
      </c>
      <c r="E7" t="s">
        <v>130</v>
      </c>
      <c r="F7" s="90">
        <f t="shared" ref="F7:H9" si="5">F14-F13</f>
        <v>202.5</v>
      </c>
      <c r="G7" s="8">
        <f t="shared" si="5"/>
        <v>220</v>
      </c>
      <c r="H7" s="57">
        <f t="shared" si="5"/>
        <v>132.5</v>
      </c>
      <c r="Q7" t="str">
        <f t="shared" si="1"/>
        <v/>
      </c>
      <c r="R7" t="str">
        <f t="shared" si="2"/>
        <v/>
      </c>
      <c r="S7" t="str">
        <f t="shared" si="3"/>
        <v/>
      </c>
    </row>
    <row r="8" spans="1:19" x14ac:dyDescent="0.25">
      <c r="A8">
        <v>990</v>
      </c>
      <c r="B8">
        <v>720</v>
      </c>
      <c r="C8">
        <v>1300</v>
      </c>
      <c r="E8" t="s">
        <v>131</v>
      </c>
      <c r="F8" s="90">
        <f t="shared" si="5"/>
        <v>237.5</v>
      </c>
      <c r="G8" s="8">
        <f t="shared" si="5"/>
        <v>120</v>
      </c>
      <c r="H8" s="57">
        <f t="shared" si="5"/>
        <v>332.5</v>
      </c>
      <c r="Q8" t="str">
        <f t="shared" si="1"/>
        <v/>
      </c>
      <c r="R8" t="str">
        <f t="shared" si="2"/>
        <v/>
      </c>
      <c r="S8" t="str">
        <f t="shared" si="3"/>
        <v/>
      </c>
    </row>
    <row r="9" spans="1:19" x14ac:dyDescent="0.25">
      <c r="A9">
        <v>670</v>
      </c>
      <c r="B9">
        <v>430</v>
      </c>
      <c r="C9">
        <v>890</v>
      </c>
      <c r="E9" t="s">
        <v>132</v>
      </c>
      <c r="F9" s="90">
        <f t="shared" si="5"/>
        <v>597.5</v>
      </c>
      <c r="G9" s="8">
        <f t="shared" si="5"/>
        <v>115</v>
      </c>
      <c r="H9" s="57">
        <f t="shared" si="5"/>
        <v>512.5</v>
      </c>
      <c r="Q9" t="str">
        <f t="shared" si="1"/>
        <v/>
      </c>
      <c r="R9" t="str">
        <f t="shared" si="2"/>
        <v/>
      </c>
      <c r="S9" t="str">
        <f t="shared" si="3"/>
        <v/>
      </c>
    </row>
    <row r="10" spans="1:19" x14ac:dyDescent="0.25">
      <c r="A10">
        <v>510</v>
      </c>
      <c r="B10">
        <v>1850</v>
      </c>
      <c r="C10">
        <v>740</v>
      </c>
      <c r="E10" t="s">
        <v>75</v>
      </c>
      <c r="F10" s="159">
        <f>F17-$F19</f>
        <v>784</v>
      </c>
      <c r="G10" s="160">
        <f>G17-$F19</f>
        <v>696</v>
      </c>
      <c r="H10" s="161">
        <f>H17-$F19</f>
        <v>1010</v>
      </c>
      <c r="Q10" t="str">
        <f t="shared" si="1"/>
        <v/>
      </c>
      <c r="R10">
        <f t="shared" si="2"/>
        <v>1850</v>
      </c>
      <c r="S10" t="str">
        <f t="shared" si="3"/>
        <v/>
      </c>
    </row>
    <row r="11" spans="1:19" x14ac:dyDescent="0.25">
      <c r="A11">
        <v>490</v>
      </c>
      <c r="B11">
        <v>-300</v>
      </c>
      <c r="C11">
        <v>720</v>
      </c>
      <c r="Q11" t="str">
        <f t="shared" si="1"/>
        <v/>
      </c>
      <c r="R11">
        <f t="shared" si="2"/>
        <v>-300</v>
      </c>
      <c r="S11" t="str">
        <f t="shared" si="3"/>
        <v/>
      </c>
    </row>
    <row r="12" spans="1:19" x14ac:dyDescent="0.25">
      <c r="A12">
        <v>380</v>
      </c>
      <c r="B12">
        <v>360</v>
      </c>
      <c r="C12">
        <v>430</v>
      </c>
      <c r="E12" t="s">
        <v>128</v>
      </c>
      <c r="F12" s="283">
        <f t="array" ref="F12">MIN(IF(A4:A13&gt;=F13-3*(F15-F13)/2,A4:A13,""))</f>
        <v>380</v>
      </c>
      <c r="G12" s="284">
        <f t="array" ref="G12">MIN(IF(B4:B13&gt;=G13-3*(G15-G13)/2,B4:B13,""))</f>
        <v>360</v>
      </c>
      <c r="H12" s="285">
        <f t="array" ref="H12">MIN(IF(C4:C13&gt;=H13-3*(H15-H13)/2,C4:C13,""))</f>
        <v>430</v>
      </c>
      <c r="Q12" t="str">
        <f t="shared" si="1"/>
        <v/>
      </c>
      <c r="R12" t="str">
        <f t="shared" si="2"/>
        <v/>
      </c>
      <c r="S12" t="str">
        <f t="shared" si="3"/>
        <v/>
      </c>
    </row>
    <row r="13" spans="1:19" x14ac:dyDescent="0.25">
      <c r="A13" s="11">
        <v>880</v>
      </c>
      <c r="B13" s="11">
        <v>690</v>
      </c>
      <c r="C13" s="11">
        <v>1050</v>
      </c>
      <c r="E13" t="s">
        <v>134</v>
      </c>
      <c r="F13" s="90">
        <f>QUARTILE(A4:A13,1)</f>
        <v>522.5</v>
      </c>
      <c r="G13" s="8">
        <f>QUARTILE(B4:B13,1)</f>
        <v>485</v>
      </c>
      <c r="H13" s="57">
        <f>QUARTILE(C4:C13,1)</f>
        <v>772.5</v>
      </c>
      <c r="Q13" s="162" t="str">
        <f t="shared" si="1"/>
        <v/>
      </c>
      <c r="R13" s="162" t="str">
        <f t="shared" si="2"/>
        <v/>
      </c>
      <c r="S13" s="162" t="str">
        <f t="shared" si="3"/>
        <v/>
      </c>
    </row>
    <row r="14" spans="1:19" x14ac:dyDescent="0.25">
      <c r="E14" t="s">
        <v>77</v>
      </c>
      <c r="F14" s="90">
        <f>MEDIAN(A4:A13)</f>
        <v>725</v>
      </c>
      <c r="G14" s="8">
        <f>MEDIAN(B4:B13)</f>
        <v>705</v>
      </c>
      <c r="H14" s="57">
        <f>MEDIAN(C4:C13)</f>
        <v>905</v>
      </c>
    </row>
    <row r="15" spans="1:19" x14ac:dyDescent="0.25">
      <c r="E15" t="s">
        <v>189</v>
      </c>
      <c r="F15" s="90">
        <f>QUARTILE(A4:A13,3)</f>
        <v>962.5</v>
      </c>
      <c r="G15" s="8">
        <f>QUARTILE(B4:B13,3)</f>
        <v>825</v>
      </c>
      <c r="H15" s="57">
        <f>QUARTILE(C4:C13,3)</f>
        <v>1237.5</v>
      </c>
    </row>
    <row r="16" spans="1:19" x14ac:dyDescent="0.25">
      <c r="E16" t="s">
        <v>515</v>
      </c>
      <c r="F16" s="90">
        <f t="array" ref="F16">MAX(IF(A4:A13&lt;=F15+3*(F15-F13)/2,A4:A13,""))</f>
        <v>1560</v>
      </c>
      <c r="G16" s="8">
        <f t="array" ref="G16">MAX(IF(B4:B13&lt;=G15+3*(G15-G13)/2,B4:B13,""))</f>
        <v>940</v>
      </c>
      <c r="H16" s="57">
        <f t="array" ref="H16">MAX(IF(C4:C13&lt;=H15+3*(H15-H13)/2,C4:C13,""))</f>
        <v>1750</v>
      </c>
    </row>
    <row r="17" spans="5:8" x14ac:dyDescent="0.25">
      <c r="E17" t="s">
        <v>75</v>
      </c>
      <c r="F17" s="159">
        <f>AVERAGE(A4:A13)</f>
        <v>784</v>
      </c>
      <c r="G17" s="160">
        <f>AVERAGE(B4:B13)</f>
        <v>696</v>
      </c>
      <c r="H17" s="161">
        <f>AVERAGE(C4:C13)</f>
        <v>1010</v>
      </c>
    </row>
    <row r="19" spans="5:8" x14ac:dyDescent="0.25">
      <c r="E19" t="s">
        <v>495</v>
      </c>
      <c r="F19" s="282">
        <f>IF(MIN(F12:H12)&gt;=0,0,MIN(F12:H12))</f>
        <v>0</v>
      </c>
    </row>
    <row r="21" spans="5:8" x14ac:dyDescent="0.25">
      <c r="E21" t="s">
        <v>532</v>
      </c>
      <c r="G21">
        <f>B10</f>
        <v>1850</v>
      </c>
    </row>
    <row r="22" spans="5:8" x14ac:dyDescent="0.25">
      <c r="G22">
        <f>B11</f>
        <v>-300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S23"/>
  <sheetViews>
    <sheetView workbookViewId="0">
      <selection activeCell="T20" sqref="T20"/>
    </sheetView>
  </sheetViews>
  <sheetFormatPr defaultRowHeight="15" x14ac:dyDescent="0.25"/>
  <cols>
    <col min="1" max="3" width="8" customWidth="1"/>
    <col min="4" max="4" width="4.42578125" customWidth="1"/>
    <col min="5" max="5" width="10.28515625" customWidth="1"/>
    <col min="6" max="8" width="7.28515625" customWidth="1"/>
    <col min="17" max="19" width="7.42578125" customWidth="1"/>
  </cols>
  <sheetData>
    <row r="1" spans="1:19" x14ac:dyDescent="0.25">
      <c r="A1" s="1" t="s">
        <v>205</v>
      </c>
      <c r="B1" s="1"/>
      <c r="C1" s="1"/>
      <c r="Q1" t="s">
        <v>507</v>
      </c>
    </row>
    <row r="3" spans="1:19" x14ac:dyDescent="0.25">
      <c r="A3" s="38" t="s">
        <v>3</v>
      </c>
      <c r="B3" s="38" t="s">
        <v>4</v>
      </c>
      <c r="C3" s="38" t="s">
        <v>5</v>
      </c>
      <c r="E3" t="s">
        <v>257</v>
      </c>
      <c r="Q3" s="38" t="s">
        <v>3</v>
      </c>
      <c r="R3" s="38" t="s">
        <v>4</v>
      </c>
      <c r="S3" s="38" t="s">
        <v>5</v>
      </c>
    </row>
    <row r="4" spans="1:19" x14ac:dyDescent="0.25">
      <c r="A4">
        <v>1650</v>
      </c>
      <c r="B4">
        <v>-50</v>
      </c>
      <c r="C4">
        <v>1430</v>
      </c>
      <c r="Q4" t="str">
        <f>IF(A4&gt;F$17,A4-$F$20,IF(A4&lt;F$13,A4-$F$20,""))</f>
        <v/>
      </c>
      <c r="R4" t="str">
        <f t="shared" ref="R4:S4" si="0">IF(B4&gt;G$17,B4-$F$20,IF(B4&lt;G$13,B4-$F$20,""))</f>
        <v/>
      </c>
      <c r="S4" t="str">
        <f t="shared" si="0"/>
        <v/>
      </c>
    </row>
    <row r="5" spans="1:19" x14ac:dyDescent="0.25">
      <c r="A5">
        <v>1560</v>
      </c>
      <c r="B5">
        <v>940</v>
      </c>
      <c r="C5">
        <v>1750</v>
      </c>
      <c r="F5" s="65" t="str">
        <f>A3</f>
        <v>Brand A</v>
      </c>
      <c r="G5" s="65" t="str">
        <f>B3</f>
        <v>Brand B</v>
      </c>
      <c r="H5" s="65" t="str">
        <f>C3</f>
        <v>Brand C</v>
      </c>
      <c r="Q5" t="str">
        <f t="shared" ref="Q5:Q13" si="1">IF(A5&gt;F$17,A5-$F$20,IF(A5&lt;F$13,A5-$F$20,""))</f>
        <v/>
      </c>
      <c r="R5" t="str">
        <f t="shared" ref="R5:R13" si="2">IF(B5&gt;G$17,B5-$F$20,IF(B5&lt;G$13,B5-$F$20,""))</f>
        <v/>
      </c>
      <c r="S5" t="str">
        <f t="shared" ref="S5:S13" si="3">IF(C5&gt;H$17,C5-$F$20,IF(C5&lt;H$13,C5-$F$20,""))</f>
        <v/>
      </c>
    </row>
    <row r="6" spans="1:19" x14ac:dyDescent="0.25">
      <c r="A6">
        <v>1260</v>
      </c>
      <c r="B6">
        <v>780</v>
      </c>
      <c r="C6">
        <v>870</v>
      </c>
      <c r="E6" t="s">
        <v>128</v>
      </c>
      <c r="F6" s="283">
        <f>F13-$F20</f>
        <v>720</v>
      </c>
      <c r="G6" s="284">
        <f>G13-$F20</f>
        <v>0</v>
      </c>
      <c r="H6" s="285">
        <f>H13-$F20</f>
        <v>480</v>
      </c>
      <c r="Q6" t="str">
        <f t="shared" si="1"/>
        <v/>
      </c>
      <c r="R6" t="str">
        <f t="shared" si="2"/>
        <v/>
      </c>
      <c r="S6" t="str">
        <f t="shared" si="3"/>
        <v/>
      </c>
    </row>
    <row r="7" spans="1:19" x14ac:dyDescent="0.25">
      <c r="A7">
        <v>780</v>
      </c>
      <c r="B7">
        <v>450</v>
      </c>
      <c r="C7">
        <v>920</v>
      </c>
      <c r="E7" t="s">
        <v>129</v>
      </c>
      <c r="F7" s="90">
        <f>F14-F13</f>
        <v>87.5</v>
      </c>
      <c r="G7" s="8">
        <f t="shared" ref="G7:H7" si="4">G14-G13</f>
        <v>427.5</v>
      </c>
      <c r="H7" s="57">
        <f t="shared" si="4"/>
        <v>342.5</v>
      </c>
      <c r="Q7" t="str">
        <f t="shared" si="1"/>
        <v/>
      </c>
      <c r="R7" t="str">
        <f t="shared" si="2"/>
        <v/>
      </c>
      <c r="S7" t="str">
        <f t="shared" si="3"/>
        <v/>
      </c>
    </row>
    <row r="8" spans="1:19" x14ac:dyDescent="0.25">
      <c r="A8">
        <v>990</v>
      </c>
      <c r="B8">
        <v>720</v>
      </c>
      <c r="C8">
        <v>1300</v>
      </c>
      <c r="E8" t="s">
        <v>130</v>
      </c>
      <c r="F8" s="90">
        <f t="shared" ref="F8:H10" si="5">F15-F14</f>
        <v>82.5</v>
      </c>
      <c r="G8" s="8">
        <f t="shared" si="5"/>
        <v>192.5</v>
      </c>
      <c r="H8" s="57">
        <f t="shared" si="5"/>
        <v>132.5</v>
      </c>
      <c r="Q8" t="str">
        <f t="shared" si="1"/>
        <v/>
      </c>
      <c r="R8" t="str">
        <f t="shared" si="2"/>
        <v/>
      </c>
      <c r="S8" t="str">
        <f t="shared" si="3"/>
        <v/>
      </c>
    </row>
    <row r="9" spans="1:19" x14ac:dyDescent="0.25">
      <c r="A9">
        <v>670</v>
      </c>
      <c r="B9">
        <v>430</v>
      </c>
      <c r="C9">
        <v>890</v>
      </c>
      <c r="E9" t="s">
        <v>131</v>
      </c>
      <c r="F9" s="90">
        <f t="shared" si="5"/>
        <v>352.5</v>
      </c>
      <c r="G9" s="8">
        <f t="shared" si="5"/>
        <v>195</v>
      </c>
      <c r="H9" s="57">
        <f t="shared" si="5"/>
        <v>332.5</v>
      </c>
      <c r="Q9" t="str">
        <f t="shared" si="1"/>
        <v/>
      </c>
      <c r="R9" t="str">
        <f t="shared" si="2"/>
        <v/>
      </c>
      <c r="S9" t="str">
        <f t="shared" si="3"/>
        <v/>
      </c>
    </row>
    <row r="10" spans="1:19" x14ac:dyDescent="0.25">
      <c r="A10">
        <v>800</v>
      </c>
      <c r="B10">
        <v>1850</v>
      </c>
      <c r="C10">
        <v>740</v>
      </c>
      <c r="E10" t="s">
        <v>132</v>
      </c>
      <c r="F10" s="90">
        <f t="shared" si="5"/>
        <v>457.5</v>
      </c>
      <c r="G10" s="8">
        <f t="shared" si="5"/>
        <v>175</v>
      </c>
      <c r="H10" s="57">
        <f t="shared" si="5"/>
        <v>512.5</v>
      </c>
      <c r="Q10" t="str">
        <f t="shared" si="1"/>
        <v/>
      </c>
      <c r="R10">
        <f t="shared" si="2"/>
        <v>1900</v>
      </c>
      <c r="S10" t="str">
        <f t="shared" si="3"/>
        <v/>
      </c>
    </row>
    <row r="11" spans="1:19" x14ac:dyDescent="0.25">
      <c r="A11">
        <v>750</v>
      </c>
      <c r="B11">
        <v>-300</v>
      </c>
      <c r="C11">
        <v>720</v>
      </c>
      <c r="E11" t="s">
        <v>75</v>
      </c>
      <c r="F11" s="159">
        <f>F18-$F20</f>
        <v>989</v>
      </c>
      <c r="G11" s="160">
        <f>G18-$F20</f>
        <v>637</v>
      </c>
      <c r="H11" s="161">
        <f>H18-$F20</f>
        <v>1060</v>
      </c>
      <c r="Q11" t="str">
        <f t="shared" si="1"/>
        <v/>
      </c>
      <c r="R11">
        <f t="shared" si="2"/>
        <v>-250</v>
      </c>
      <c r="S11" t="str">
        <f t="shared" si="3"/>
        <v/>
      </c>
    </row>
    <row r="12" spans="1:19" x14ac:dyDescent="0.25">
      <c r="A12">
        <v>50</v>
      </c>
      <c r="B12">
        <v>360</v>
      </c>
      <c r="C12">
        <v>430</v>
      </c>
      <c r="Q12">
        <f t="shared" si="1"/>
        <v>100</v>
      </c>
      <c r="R12" t="str">
        <f t="shared" si="2"/>
        <v/>
      </c>
      <c r="S12" t="str">
        <f t="shared" si="3"/>
        <v/>
      </c>
    </row>
    <row r="13" spans="1:19" x14ac:dyDescent="0.25">
      <c r="A13" s="11">
        <v>880</v>
      </c>
      <c r="B13" s="11">
        <v>690</v>
      </c>
      <c r="C13" s="11">
        <v>1050</v>
      </c>
      <c r="E13" t="s">
        <v>128</v>
      </c>
      <c r="F13" s="283">
        <f t="array" ref="F13">MIN(IF(A4:A13&gt;=F14-3*(F16-F14)/2,A4:A13,""))</f>
        <v>670</v>
      </c>
      <c r="G13" s="284">
        <f t="array" ref="G13">MIN(IF(B4:B13&gt;=G14-3*(G16-G14)/2,B4:B13,""))</f>
        <v>-50</v>
      </c>
      <c r="H13" s="285">
        <f t="array" ref="H13">MIN(IF(C4:C13&gt;=H14-3*(H16-H14)/2,C4:C13,""))</f>
        <v>430</v>
      </c>
      <c r="Q13" s="162" t="str">
        <f t="shared" si="1"/>
        <v/>
      </c>
      <c r="R13" s="162" t="str">
        <f t="shared" si="2"/>
        <v/>
      </c>
      <c r="S13" s="162" t="str">
        <f t="shared" si="3"/>
        <v/>
      </c>
    </row>
    <row r="14" spans="1:19" x14ac:dyDescent="0.25">
      <c r="E14" t="s">
        <v>134</v>
      </c>
      <c r="F14" s="90">
        <f>QUARTILE(A4:A13,1)</f>
        <v>757.5</v>
      </c>
      <c r="G14" s="8">
        <f>QUARTILE(B4:B13,1)</f>
        <v>377.5</v>
      </c>
      <c r="H14" s="57">
        <f>QUARTILE(C4:C13,1)</f>
        <v>772.5</v>
      </c>
    </row>
    <row r="15" spans="1:19" x14ac:dyDescent="0.25">
      <c r="E15" t="s">
        <v>77</v>
      </c>
      <c r="F15" s="90">
        <f>MEDIAN(A4:A13)</f>
        <v>840</v>
      </c>
      <c r="G15" s="8">
        <f>MEDIAN(B4:B13)</f>
        <v>570</v>
      </c>
      <c r="H15" s="57">
        <f>MEDIAN(C4:C13)</f>
        <v>905</v>
      </c>
    </row>
    <row r="16" spans="1:19" x14ac:dyDescent="0.25">
      <c r="E16" t="s">
        <v>189</v>
      </c>
      <c r="F16" s="90">
        <f>QUARTILE(A4:A13,3)</f>
        <v>1192.5</v>
      </c>
      <c r="G16" s="8">
        <f>QUARTILE(B4:B13,3)</f>
        <v>765</v>
      </c>
      <c r="H16" s="57">
        <f>QUARTILE(C4:C13,3)</f>
        <v>1237.5</v>
      </c>
    </row>
    <row r="17" spans="5:8" x14ac:dyDescent="0.25">
      <c r="E17" t="s">
        <v>515</v>
      </c>
      <c r="F17" s="90">
        <f t="array" ref="F17">MAX(IF(A4:A13&lt;=F16+3*(F16-F14)/2,A4:A13,""))</f>
        <v>1650</v>
      </c>
      <c r="G17" s="8">
        <f t="array" ref="G17">MAX(IF(B4:B13&lt;=G16+3*(G16-G14)/2,B4:B13,""))</f>
        <v>940</v>
      </c>
      <c r="H17" s="57">
        <f t="array" ref="H17">MAX(IF(C4:C13&lt;=H16+3*(H16-H14)/2,C4:C13,""))</f>
        <v>1750</v>
      </c>
    </row>
    <row r="18" spans="5:8" x14ac:dyDescent="0.25">
      <c r="E18" t="s">
        <v>75</v>
      </c>
      <c r="F18" s="159">
        <f>AVERAGE(A4:A13)</f>
        <v>939</v>
      </c>
      <c r="G18" s="160">
        <f>AVERAGE(B4:B13)</f>
        <v>587</v>
      </c>
      <c r="H18" s="161">
        <f>AVERAGE(C4:C13)</f>
        <v>1010</v>
      </c>
    </row>
    <row r="20" spans="5:8" x14ac:dyDescent="0.25">
      <c r="E20" t="s">
        <v>495</v>
      </c>
      <c r="F20" s="282">
        <f>IF(MIN(F13:H13)&gt;=0,0,MIN(F13:H13))</f>
        <v>-50</v>
      </c>
    </row>
    <row r="22" spans="5:8" x14ac:dyDescent="0.25">
      <c r="E22" t="s">
        <v>532</v>
      </c>
      <c r="F22">
        <f>A12-F20</f>
        <v>100</v>
      </c>
      <c r="G22">
        <f>B10-F20</f>
        <v>1900</v>
      </c>
    </row>
    <row r="23" spans="5:8" x14ac:dyDescent="0.25">
      <c r="G23">
        <f>B11-F20</f>
        <v>-250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16"/>
  <sheetViews>
    <sheetView workbookViewId="0">
      <selection activeCell="M19" sqref="M19"/>
    </sheetView>
  </sheetViews>
  <sheetFormatPr defaultRowHeight="15" x14ac:dyDescent="0.25"/>
  <sheetData>
    <row r="1" spans="1:10" x14ac:dyDescent="0.25">
      <c r="A1" s="1" t="s">
        <v>534</v>
      </c>
      <c r="B1" s="1"/>
      <c r="C1" s="1"/>
    </row>
    <row r="3" spans="1:10" x14ac:dyDescent="0.25">
      <c r="A3" s="288" t="s">
        <v>3</v>
      </c>
      <c r="B3" s="288" t="s">
        <v>4</v>
      </c>
      <c r="C3" s="288" t="s">
        <v>5</v>
      </c>
      <c r="F3" t="str">
        <f t="shared" ref="F3:F13" si="0">A3</f>
        <v>Brand A</v>
      </c>
      <c r="H3" t="str">
        <f t="shared" ref="H3:H13" si="1">B3</f>
        <v>Brand B</v>
      </c>
      <c r="J3" t="str">
        <f t="shared" ref="J3:J13" si="2">C3</f>
        <v>Brand C</v>
      </c>
    </row>
    <row r="4" spans="1:10" x14ac:dyDescent="0.25">
      <c r="A4">
        <v>1020</v>
      </c>
      <c r="B4">
        <v>840</v>
      </c>
      <c r="C4">
        <v>1430</v>
      </c>
      <c r="E4">
        <v>1</v>
      </c>
      <c r="F4">
        <f t="shared" si="0"/>
        <v>1020</v>
      </c>
      <c r="G4">
        <v>2</v>
      </c>
      <c r="H4">
        <f t="shared" si="1"/>
        <v>840</v>
      </c>
      <c r="I4">
        <v>3</v>
      </c>
      <c r="J4">
        <f t="shared" si="2"/>
        <v>1430</v>
      </c>
    </row>
    <row r="5" spans="1:10" x14ac:dyDescent="0.25">
      <c r="A5">
        <v>1560</v>
      </c>
      <c r="B5">
        <v>940</v>
      </c>
      <c r="C5">
        <v>1750</v>
      </c>
      <c r="E5">
        <v>1</v>
      </c>
      <c r="F5">
        <f t="shared" si="0"/>
        <v>1560</v>
      </c>
      <c r="G5">
        <v>2</v>
      </c>
      <c r="H5">
        <f t="shared" si="1"/>
        <v>940</v>
      </c>
      <c r="I5">
        <v>3</v>
      </c>
      <c r="J5">
        <f t="shared" si="2"/>
        <v>1750</v>
      </c>
    </row>
    <row r="6" spans="1:10" x14ac:dyDescent="0.25">
      <c r="A6">
        <v>560</v>
      </c>
      <c r="B6">
        <v>780</v>
      </c>
      <c r="C6">
        <v>870</v>
      </c>
      <c r="E6">
        <v>1</v>
      </c>
      <c r="F6">
        <f t="shared" si="0"/>
        <v>560</v>
      </c>
      <c r="G6">
        <v>2</v>
      </c>
      <c r="H6">
        <f t="shared" si="1"/>
        <v>780</v>
      </c>
      <c r="I6">
        <v>3</v>
      </c>
      <c r="J6">
        <f t="shared" si="2"/>
        <v>870</v>
      </c>
    </row>
    <row r="7" spans="1:10" x14ac:dyDescent="0.25">
      <c r="A7">
        <v>780</v>
      </c>
      <c r="B7">
        <v>650</v>
      </c>
      <c r="C7">
        <v>920</v>
      </c>
      <c r="E7">
        <v>1</v>
      </c>
      <c r="F7">
        <f t="shared" si="0"/>
        <v>780</v>
      </c>
      <c r="G7">
        <v>2</v>
      </c>
      <c r="H7">
        <f t="shared" si="1"/>
        <v>650</v>
      </c>
      <c r="I7">
        <v>3</v>
      </c>
      <c r="J7">
        <f t="shared" si="2"/>
        <v>920</v>
      </c>
    </row>
    <row r="8" spans="1:10" x14ac:dyDescent="0.25">
      <c r="A8">
        <v>990</v>
      </c>
      <c r="B8">
        <v>720</v>
      </c>
      <c r="C8">
        <v>1300</v>
      </c>
      <c r="E8">
        <v>1</v>
      </c>
      <c r="F8">
        <f t="shared" si="0"/>
        <v>990</v>
      </c>
      <c r="G8">
        <v>2</v>
      </c>
      <c r="H8">
        <f t="shared" si="1"/>
        <v>720</v>
      </c>
      <c r="I8">
        <v>3</v>
      </c>
      <c r="J8">
        <f t="shared" si="2"/>
        <v>1300</v>
      </c>
    </row>
    <row r="9" spans="1:10" x14ac:dyDescent="0.25">
      <c r="A9">
        <v>670</v>
      </c>
      <c r="B9">
        <v>430</v>
      </c>
      <c r="C9">
        <v>890</v>
      </c>
      <c r="E9">
        <v>1</v>
      </c>
      <c r="F9">
        <f t="shared" si="0"/>
        <v>670</v>
      </c>
      <c r="G9">
        <v>2</v>
      </c>
      <c r="H9">
        <f t="shared" si="1"/>
        <v>430</v>
      </c>
      <c r="I9">
        <v>3</v>
      </c>
      <c r="J9">
        <f t="shared" si="2"/>
        <v>890</v>
      </c>
    </row>
    <row r="10" spans="1:10" x14ac:dyDescent="0.25">
      <c r="A10">
        <v>510</v>
      </c>
      <c r="B10">
        <v>1850</v>
      </c>
      <c r="C10">
        <v>740</v>
      </c>
      <c r="E10">
        <v>1</v>
      </c>
      <c r="F10">
        <f t="shared" si="0"/>
        <v>510</v>
      </c>
      <c r="G10">
        <v>2</v>
      </c>
      <c r="H10">
        <f t="shared" si="1"/>
        <v>1850</v>
      </c>
      <c r="I10">
        <v>3</v>
      </c>
      <c r="J10">
        <f t="shared" si="2"/>
        <v>740</v>
      </c>
    </row>
    <row r="11" spans="1:10" x14ac:dyDescent="0.25">
      <c r="A11">
        <v>490</v>
      </c>
      <c r="B11">
        <v>300</v>
      </c>
      <c r="C11">
        <v>720</v>
      </c>
      <c r="E11">
        <v>1</v>
      </c>
      <c r="F11">
        <f t="shared" si="0"/>
        <v>490</v>
      </c>
      <c r="G11">
        <v>2</v>
      </c>
      <c r="H11">
        <f t="shared" si="1"/>
        <v>300</v>
      </c>
      <c r="I11">
        <v>3</v>
      </c>
      <c r="J11">
        <f t="shared" si="2"/>
        <v>720</v>
      </c>
    </row>
    <row r="12" spans="1:10" x14ac:dyDescent="0.25">
      <c r="A12">
        <v>380</v>
      </c>
      <c r="B12">
        <v>360</v>
      </c>
      <c r="C12">
        <v>430</v>
      </c>
      <c r="E12">
        <v>1</v>
      </c>
      <c r="F12">
        <f t="shared" si="0"/>
        <v>380</v>
      </c>
      <c r="G12">
        <v>2</v>
      </c>
      <c r="H12">
        <f t="shared" si="1"/>
        <v>360</v>
      </c>
      <c r="I12">
        <v>3</v>
      </c>
      <c r="J12">
        <f t="shared" si="2"/>
        <v>430</v>
      </c>
    </row>
    <row r="13" spans="1:10" x14ac:dyDescent="0.25">
      <c r="A13" s="162">
        <v>880</v>
      </c>
      <c r="B13" s="162">
        <v>690</v>
      </c>
      <c r="C13" s="162">
        <v>1050</v>
      </c>
      <c r="E13">
        <v>1</v>
      </c>
      <c r="F13">
        <f t="shared" si="0"/>
        <v>880</v>
      </c>
      <c r="G13">
        <v>2</v>
      </c>
      <c r="H13">
        <f t="shared" si="1"/>
        <v>690</v>
      </c>
      <c r="I13">
        <v>3</v>
      </c>
      <c r="J13">
        <f t="shared" si="2"/>
        <v>1050</v>
      </c>
    </row>
    <row r="15" spans="1:10" x14ac:dyDescent="0.25">
      <c r="A15" t="str">
        <f>A3</f>
        <v>Brand A</v>
      </c>
      <c r="B15" t="str">
        <f>B3</f>
        <v>Brand B</v>
      </c>
      <c r="C15" t="str">
        <f>C3</f>
        <v>Brand C</v>
      </c>
    </row>
    <row r="16" spans="1:10" x14ac:dyDescent="0.25">
      <c r="A16">
        <v>0</v>
      </c>
      <c r="B16">
        <v>0</v>
      </c>
      <c r="C16">
        <v>0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C13"/>
  <sheetViews>
    <sheetView topLeftCell="A2" workbookViewId="0">
      <selection activeCell="M19" sqref="M19"/>
    </sheetView>
  </sheetViews>
  <sheetFormatPr defaultRowHeight="15" x14ac:dyDescent="0.25"/>
  <cols>
    <col min="1" max="3" width="7.85546875" customWidth="1"/>
    <col min="4" max="4" width="9.140625" customWidth="1"/>
  </cols>
  <sheetData>
    <row r="1" spans="1:3" x14ac:dyDescent="0.25">
      <c r="A1" s="1" t="s">
        <v>534</v>
      </c>
      <c r="B1" s="1"/>
      <c r="C1" s="1"/>
    </row>
    <row r="3" spans="1:3" x14ac:dyDescent="0.25">
      <c r="A3" s="288" t="s">
        <v>3</v>
      </c>
      <c r="B3" s="288" t="s">
        <v>4</v>
      </c>
      <c r="C3" s="288" t="s">
        <v>5</v>
      </c>
    </row>
    <row r="4" spans="1:3" x14ac:dyDescent="0.25">
      <c r="A4">
        <v>1020</v>
      </c>
      <c r="B4">
        <v>840</v>
      </c>
      <c r="C4">
        <v>1430</v>
      </c>
    </row>
    <row r="5" spans="1:3" x14ac:dyDescent="0.25">
      <c r="A5">
        <v>1560</v>
      </c>
      <c r="B5">
        <v>940</v>
      </c>
      <c r="C5">
        <v>1750</v>
      </c>
    </row>
    <row r="6" spans="1:3" x14ac:dyDescent="0.25">
      <c r="A6">
        <v>560</v>
      </c>
      <c r="B6">
        <v>780</v>
      </c>
      <c r="C6">
        <v>870</v>
      </c>
    </row>
    <row r="7" spans="1:3" x14ac:dyDescent="0.25">
      <c r="A7">
        <v>780</v>
      </c>
      <c r="B7">
        <v>650</v>
      </c>
      <c r="C7">
        <v>920</v>
      </c>
    </row>
    <row r="8" spans="1:3" x14ac:dyDescent="0.25">
      <c r="A8">
        <v>990</v>
      </c>
      <c r="B8">
        <v>720</v>
      </c>
      <c r="C8">
        <v>1300</v>
      </c>
    </row>
    <row r="9" spans="1:3" x14ac:dyDescent="0.25">
      <c r="A9">
        <v>670</v>
      </c>
      <c r="B9">
        <v>430</v>
      </c>
      <c r="C9">
        <v>890</v>
      </c>
    </row>
    <row r="10" spans="1:3" x14ac:dyDescent="0.25">
      <c r="A10">
        <v>510</v>
      </c>
      <c r="B10">
        <v>1850</v>
      </c>
      <c r="C10">
        <v>740</v>
      </c>
    </row>
    <row r="11" spans="1:3" x14ac:dyDescent="0.25">
      <c r="A11">
        <v>490</v>
      </c>
      <c r="B11">
        <v>300</v>
      </c>
      <c r="C11">
        <v>720</v>
      </c>
    </row>
    <row r="12" spans="1:3" x14ac:dyDescent="0.25">
      <c r="A12">
        <v>380</v>
      </c>
      <c r="B12">
        <v>360</v>
      </c>
      <c r="C12">
        <v>430</v>
      </c>
    </row>
    <row r="13" spans="1:3" x14ac:dyDescent="0.25">
      <c r="A13" s="162">
        <v>880</v>
      </c>
      <c r="B13" s="162">
        <v>690</v>
      </c>
      <c r="C13" s="162">
        <v>1050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5"/>
  <dimension ref="A1:O55"/>
  <sheetViews>
    <sheetView workbookViewId="0"/>
  </sheetViews>
  <sheetFormatPr defaultRowHeight="15" x14ac:dyDescent="0.25"/>
  <cols>
    <col min="1" max="1" width="13" customWidth="1"/>
    <col min="2" max="5" width="8.140625" customWidth="1"/>
  </cols>
  <sheetData>
    <row r="1" spans="1:13" x14ac:dyDescent="0.25">
      <c r="A1" s="1" t="s">
        <v>407</v>
      </c>
    </row>
    <row r="3" spans="1:13" x14ac:dyDescent="0.25">
      <c r="A3" t="s">
        <v>273</v>
      </c>
    </row>
    <row r="5" spans="1:13" x14ac:dyDescent="0.25">
      <c r="A5" s="89"/>
      <c r="B5" s="385" t="s">
        <v>144</v>
      </c>
      <c r="C5" s="386"/>
      <c r="D5" s="385" t="s">
        <v>408</v>
      </c>
      <c r="E5" s="386"/>
    </row>
    <row r="6" spans="1:13" x14ac:dyDescent="0.25">
      <c r="A6" s="243" t="s">
        <v>304</v>
      </c>
      <c r="B6" s="244" t="s">
        <v>422</v>
      </c>
      <c r="C6" s="245" t="s">
        <v>421</v>
      </c>
      <c r="D6" s="244" t="s">
        <v>422</v>
      </c>
      <c r="E6" s="245" t="s">
        <v>421</v>
      </c>
      <c r="F6" s="244" t="s">
        <v>274</v>
      </c>
      <c r="G6" s="245" t="s">
        <v>275</v>
      </c>
      <c r="H6" s="246" t="s">
        <v>276</v>
      </c>
      <c r="K6" s="238" t="s">
        <v>271</v>
      </c>
      <c r="L6" s="238" t="s">
        <v>270</v>
      </c>
    </row>
    <row r="7" spans="1:13" x14ac:dyDescent="0.25">
      <c r="A7" s="91"/>
      <c r="B7" s="166"/>
      <c r="C7" s="167"/>
      <c r="D7" s="196">
        <v>0</v>
      </c>
      <c r="E7" s="197">
        <v>0</v>
      </c>
      <c r="F7" s="196">
        <f t="shared" ref="F7:G17" si="0">1-D7/D$17</f>
        <v>1</v>
      </c>
      <c r="G7" s="178">
        <f t="shared" si="0"/>
        <v>1</v>
      </c>
      <c r="H7" s="197">
        <f t="shared" ref="H7:H17" si="1">(F7-F8)*G7</f>
        <v>6.4516129032258007E-2</v>
      </c>
      <c r="J7" t="s">
        <v>268</v>
      </c>
      <c r="K7" s="196">
        <f>INDEX(D8:D17,K13)</f>
        <v>413</v>
      </c>
      <c r="L7" s="197">
        <f>INDEX(E8:E17,K13)</f>
        <v>58</v>
      </c>
      <c r="M7">
        <f>L7+K7</f>
        <v>471</v>
      </c>
    </row>
    <row r="8" spans="1:13" x14ac:dyDescent="0.25">
      <c r="A8" s="253" t="s">
        <v>409</v>
      </c>
      <c r="B8" s="166">
        <v>34</v>
      </c>
      <c r="C8" s="167">
        <v>3</v>
      </c>
      <c r="D8" s="92">
        <f>D7+B8</f>
        <v>34</v>
      </c>
      <c r="E8" s="93">
        <f>E7+C8</f>
        <v>3</v>
      </c>
      <c r="F8" s="92">
        <f t="shared" si="0"/>
        <v>0.93548387096774199</v>
      </c>
      <c r="G8" s="8">
        <f t="shared" si="0"/>
        <v>0.989247311827957</v>
      </c>
      <c r="H8" s="93">
        <f t="shared" si="1"/>
        <v>0.11825916630960405</v>
      </c>
      <c r="J8" t="s">
        <v>267</v>
      </c>
      <c r="K8" s="80">
        <f>K9-K7</f>
        <v>114</v>
      </c>
      <c r="L8" s="83">
        <f>L9-L7</f>
        <v>221</v>
      </c>
      <c r="M8">
        <f>L8+K8</f>
        <v>335</v>
      </c>
    </row>
    <row r="9" spans="1:13" x14ac:dyDescent="0.25">
      <c r="A9" s="253" t="s">
        <v>410</v>
      </c>
      <c r="B9" s="166">
        <v>63</v>
      </c>
      <c r="C9" s="167">
        <v>7</v>
      </c>
      <c r="D9" s="92">
        <f t="shared" ref="D9:E17" si="2">D8+B9</f>
        <v>97</v>
      </c>
      <c r="E9" s="93">
        <f t="shared" si="2"/>
        <v>10</v>
      </c>
      <c r="F9" s="92">
        <f>1-D9/D$17</f>
        <v>0.81593927893738138</v>
      </c>
      <c r="G9" s="8">
        <f t="shared" si="0"/>
        <v>0.96415770609318996</v>
      </c>
      <c r="H9" s="93">
        <f t="shared" si="1"/>
        <v>0.16099787122618733</v>
      </c>
      <c r="K9">
        <f>B18</f>
        <v>527</v>
      </c>
      <c r="L9">
        <f>C18</f>
        <v>279</v>
      </c>
      <c r="M9">
        <f>L9+K9</f>
        <v>806</v>
      </c>
    </row>
    <row r="10" spans="1:13" x14ac:dyDescent="0.25">
      <c r="A10" s="253" t="s">
        <v>411</v>
      </c>
      <c r="B10" s="166">
        <v>88</v>
      </c>
      <c r="C10" s="167">
        <v>11</v>
      </c>
      <c r="D10" s="92">
        <f t="shared" si="2"/>
        <v>185</v>
      </c>
      <c r="E10" s="93">
        <f t="shared" si="2"/>
        <v>21</v>
      </c>
      <c r="F10" s="92">
        <f t="shared" si="0"/>
        <v>0.64895635673624286</v>
      </c>
      <c r="G10" s="8">
        <f t="shared" si="0"/>
        <v>0.92473118279569888</v>
      </c>
      <c r="H10" s="93">
        <f t="shared" si="1"/>
        <v>0.18424435330844094</v>
      </c>
    </row>
    <row r="11" spans="1:13" x14ac:dyDescent="0.25">
      <c r="A11" s="253" t="s">
        <v>412</v>
      </c>
      <c r="B11" s="166">
        <v>105</v>
      </c>
      <c r="C11" s="167">
        <v>14</v>
      </c>
      <c r="D11" s="92">
        <f t="shared" si="2"/>
        <v>290</v>
      </c>
      <c r="E11" s="93">
        <f t="shared" si="2"/>
        <v>35</v>
      </c>
      <c r="F11" s="92">
        <f t="shared" si="0"/>
        <v>0.44971537001897532</v>
      </c>
      <c r="G11" s="8">
        <f t="shared" si="0"/>
        <v>0.87455197132616491</v>
      </c>
      <c r="H11" s="93">
        <f t="shared" si="1"/>
        <v>0.20411744302299484</v>
      </c>
      <c r="J11" t="s">
        <v>294</v>
      </c>
      <c r="K11" s="170">
        <f>K7/K9</f>
        <v>0.78368121442125238</v>
      </c>
      <c r="L11" s="171">
        <f>L8/L9</f>
        <v>0.79211469534050183</v>
      </c>
      <c r="M11">
        <f>(L8+K7)/M9</f>
        <v>0.78660049627791562</v>
      </c>
    </row>
    <row r="12" spans="1:13" x14ac:dyDescent="0.25">
      <c r="A12" s="253" t="s">
        <v>413</v>
      </c>
      <c r="B12" s="166">
        <v>123</v>
      </c>
      <c r="C12" s="167">
        <v>23</v>
      </c>
      <c r="D12" s="92">
        <f t="shared" si="2"/>
        <v>413</v>
      </c>
      <c r="E12" s="93">
        <f t="shared" si="2"/>
        <v>58</v>
      </c>
      <c r="F12" s="92">
        <f t="shared" si="0"/>
        <v>0.21631878557874762</v>
      </c>
      <c r="G12" s="8">
        <f t="shared" si="0"/>
        <v>0.79211469534050183</v>
      </c>
      <c r="H12" s="93">
        <f t="shared" si="1"/>
        <v>0.14279107411261421</v>
      </c>
    </row>
    <row r="13" spans="1:13" x14ac:dyDescent="0.25">
      <c r="A13" s="253" t="s">
        <v>414</v>
      </c>
      <c r="B13" s="166">
        <v>95</v>
      </c>
      <c r="C13" s="167">
        <v>60</v>
      </c>
      <c r="D13" s="92">
        <f t="shared" si="2"/>
        <v>508</v>
      </c>
      <c r="E13" s="93">
        <f t="shared" si="2"/>
        <v>118</v>
      </c>
      <c r="F13" s="92">
        <f t="shared" si="0"/>
        <v>3.6053130929791233E-2</v>
      </c>
      <c r="G13" s="8">
        <f t="shared" si="0"/>
        <v>0.57706093189964158</v>
      </c>
      <c r="H13" s="93">
        <f t="shared" si="1"/>
        <v>9.8549305258003369E-3</v>
      </c>
      <c r="J13" t="s">
        <v>272</v>
      </c>
      <c r="K13" s="172">
        <v>5</v>
      </c>
    </row>
    <row r="14" spans="1:13" x14ac:dyDescent="0.25">
      <c r="A14" s="253" t="s">
        <v>415</v>
      </c>
      <c r="B14" s="166">
        <v>9</v>
      </c>
      <c r="C14" s="167">
        <v>75</v>
      </c>
      <c r="D14" s="92">
        <f t="shared" si="2"/>
        <v>517</v>
      </c>
      <c r="E14" s="93">
        <f t="shared" si="2"/>
        <v>193</v>
      </c>
      <c r="F14" s="92">
        <f t="shared" si="0"/>
        <v>1.8975332068311146E-2</v>
      </c>
      <c r="G14" s="8">
        <f t="shared" si="0"/>
        <v>0.30824372759856633</v>
      </c>
      <c r="H14" s="93">
        <f t="shared" si="1"/>
        <v>3.5094162534941046E-3</v>
      </c>
    </row>
    <row r="15" spans="1:13" x14ac:dyDescent="0.25">
      <c r="A15" s="253" t="s">
        <v>416</v>
      </c>
      <c r="B15" s="166">
        <v>6</v>
      </c>
      <c r="C15" s="167">
        <v>41</v>
      </c>
      <c r="D15" s="92">
        <f t="shared" si="2"/>
        <v>523</v>
      </c>
      <c r="E15" s="93">
        <f t="shared" si="2"/>
        <v>234</v>
      </c>
      <c r="F15" s="92">
        <f t="shared" si="0"/>
        <v>7.5901328273244584E-3</v>
      </c>
      <c r="G15" s="8">
        <f t="shared" si="0"/>
        <v>0.16129032258064513</v>
      </c>
      <c r="H15" s="93">
        <f t="shared" si="1"/>
        <v>1.224214972149106E-3</v>
      </c>
    </row>
    <row r="16" spans="1:13" x14ac:dyDescent="0.25">
      <c r="A16" s="253" t="s">
        <v>417</v>
      </c>
      <c r="B16" s="166">
        <v>4</v>
      </c>
      <c r="C16" s="167">
        <v>30</v>
      </c>
      <c r="D16" s="92">
        <f t="shared" si="2"/>
        <v>527</v>
      </c>
      <c r="E16" s="93">
        <f t="shared" si="2"/>
        <v>264</v>
      </c>
      <c r="F16" s="92">
        <f t="shared" si="0"/>
        <v>0</v>
      </c>
      <c r="G16" s="8">
        <f t="shared" si="0"/>
        <v>5.3763440860215006E-2</v>
      </c>
      <c r="H16" s="93">
        <f t="shared" si="1"/>
        <v>0</v>
      </c>
    </row>
    <row r="17" spans="1:15" x14ac:dyDescent="0.25">
      <c r="A17" s="254" t="s">
        <v>418</v>
      </c>
      <c r="B17" s="235">
        <v>0</v>
      </c>
      <c r="C17" s="236">
        <v>15</v>
      </c>
      <c r="D17" s="80">
        <f t="shared" si="2"/>
        <v>527</v>
      </c>
      <c r="E17" s="83">
        <f t="shared" si="2"/>
        <v>279</v>
      </c>
      <c r="F17" s="80">
        <f t="shared" si="0"/>
        <v>0</v>
      </c>
      <c r="G17" s="162">
        <f t="shared" si="0"/>
        <v>0</v>
      </c>
      <c r="H17" s="83">
        <f t="shared" si="1"/>
        <v>0</v>
      </c>
    </row>
    <row r="18" spans="1:15" x14ac:dyDescent="0.25">
      <c r="B18">
        <f>SUM(B8:B17)</f>
        <v>527</v>
      </c>
      <c r="C18">
        <f>SUM(C8:C17)</f>
        <v>279</v>
      </c>
      <c r="H18">
        <f>SUM(H7:H17)</f>
        <v>0.88951459876354277</v>
      </c>
    </row>
    <row r="20" spans="1:15" x14ac:dyDescent="0.25">
      <c r="A20" t="s">
        <v>419</v>
      </c>
    </row>
    <row r="22" spans="1:15" x14ac:dyDescent="0.25">
      <c r="E22" t="s">
        <v>273</v>
      </c>
    </row>
    <row r="24" spans="1:15" x14ac:dyDescent="0.25">
      <c r="A24" s="243" t="s">
        <v>304</v>
      </c>
      <c r="B24" s="244" t="s">
        <v>422</v>
      </c>
      <c r="C24" s="246" t="s">
        <v>421</v>
      </c>
      <c r="E24" s="255" t="s">
        <v>255</v>
      </c>
      <c r="F24" s="244" t="s">
        <v>422</v>
      </c>
      <c r="G24" s="246" t="s">
        <v>421</v>
      </c>
      <c r="H24" s="248" t="s">
        <v>274</v>
      </c>
      <c r="I24" s="248" t="s">
        <v>275</v>
      </c>
      <c r="J24" s="249" t="s">
        <v>276</v>
      </c>
      <c r="L24" s="383" t="s">
        <v>269</v>
      </c>
      <c r="M24" s="383"/>
      <c r="N24" s="383"/>
      <c r="O24" s="383"/>
    </row>
    <row r="25" spans="1:15" x14ac:dyDescent="0.25">
      <c r="A25" s="253" t="s">
        <v>409</v>
      </c>
      <c r="B25" s="166">
        <v>34</v>
      </c>
      <c r="C25" s="167">
        <v>3</v>
      </c>
      <c r="E25" s="124">
        <v>0</v>
      </c>
      <c r="F25" s="250">
        <v>0</v>
      </c>
      <c r="G25" s="252">
        <v>0</v>
      </c>
      <c r="H25" s="251">
        <f>1-F25/F$35</f>
        <v>1</v>
      </c>
      <c r="I25" s="251">
        <f>1-G25/G$35</f>
        <v>1</v>
      </c>
      <c r="J25" s="252">
        <f>(H25-H26)*I25</f>
        <v>6.4516129032258007E-2</v>
      </c>
    </row>
    <row r="26" spans="1:15" x14ac:dyDescent="0.25">
      <c r="A26" s="253" t="s">
        <v>410</v>
      </c>
      <c r="B26" s="166">
        <v>63</v>
      </c>
      <c r="C26" s="167">
        <v>7</v>
      </c>
      <c r="E26" s="124">
        <f>E25+1</f>
        <v>1</v>
      </c>
      <c r="F26" s="90">
        <f>F25+B25</f>
        <v>34</v>
      </c>
      <c r="G26" s="57">
        <f>G25+C25</f>
        <v>3</v>
      </c>
      <c r="H26" s="8">
        <f t="shared" ref="H26:H35" si="3">1-F26/F$35</f>
        <v>0.93548387096774199</v>
      </c>
      <c r="I26" s="8">
        <f t="shared" ref="I26:I35" si="4">1-G26/G$35</f>
        <v>0.989247311827957</v>
      </c>
      <c r="J26" s="57">
        <f t="shared" ref="J26:J35" si="5">(H26-H27)*I26</f>
        <v>0.11825916630960405</v>
      </c>
      <c r="M26" s="238" t="s">
        <v>271</v>
      </c>
      <c r="N26" s="238" t="s">
        <v>270</v>
      </c>
    </row>
    <row r="27" spans="1:15" x14ac:dyDescent="0.25">
      <c r="A27" s="253" t="s">
        <v>411</v>
      </c>
      <c r="B27" s="166">
        <v>88</v>
      </c>
      <c r="C27" s="167">
        <v>11</v>
      </c>
      <c r="E27" s="124">
        <f t="shared" ref="E27:E35" si="6">E26+1</f>
        <v>2</v>
      </c>
      <c r="F27" s="90">
        <f t="shared" ref="F27:F35" si="7">F26+B26</f>
        <v>97</v>
      </c>
      <c r="G27" s="57">
        <f t="shared" ref="G27:G35" si="8">G26+C26</f>
        <v>10</v>
      </c>
      <c r="H27" s="8">
        <f t="shared" si="3"/>
        <v>0.81593927893738138</v>
      </c>
      <c r="I27" s="8">
        <f t="shared" si="4"/>
        <v>0.96415770609318996</v>
      </c>
      <c r="J27" s="57">
        <f t="shared" si="5"/>
        <v>0.16099787122618733</v>
      </c>
      <c r="L27" t="s">
        <v>268</v>
      </c>
      <c r="M27" s="250">
        <f>INDEX(F25:F34,M33+1)</f>
        <v>413</v>
      </c>
      <c r="N27" s="252">
        <f>INDEX(G25:G34,M33+1)</f>
        <v>58</v>
      </c>
      <c r="O27">
        <f>M27+N27</f>
        <v>471</v>
      </c>
    </row>
    <row r="28" spans="1:15" x14ac:dyDescent="0.25">
      <c r="A28" s="253" t="s">
        <v>412</v>
      </c>
      <c r="B28" s="166">
        <v>105</v>
      </c>
      <c r="C28" s="167">
        <v>14</v>
      </c>
      <c r="E28" s="124">
        <f t="shared" si="6"/>
        <v>3</v>
      </c>
      <c r="F28" s="90">
        <f t="shared" si="7"/>
        <v>185</v>
      </c>
      <c r="G28" s="57">
        <f t="shared" si="8"/>
        <v>21</v>
      </c>
      <c r="H28" s="8">
        <f t="shared" si="3"/>
        <v>0.64895635673624286</v>
      </c>
      <c r="I28" s="8">
        <f t="shared" si="4"/>
        <v>0.92473118279569888</v>
      </c>
      <c r="J28" s="57">
        <f t="shared" si="5"/>
        <v>0.18424435330844094</v>
      </c>
      <c r="L28" t="s">
        <v>267</v>
      </c>
      <c r="M28" s="159">
        <f>M29-M27</f>
        <v>114</v>
      </c>
      <c r="N28" s="161">
        <f>N29-N27</f>
        <v>221</v>
      </c>
      <c r="O28">
        <f>M28+N28</f>
        <v>335</v>
      </c>
    </row>
    <row r="29" spans="1:15" x14ac:dyDescent="0.25">
      <c r="A29" s="253" t="s">
        <v>413</v>
      </c>
      <c r="B29" s="166">
        <v>123</v>
      </c>
      <c r="C29" s="167">
        <v>23</v>
      </c>
      <c r="E29" s="124">
        <f t="shared" si="6"/>
        <v>4</v>
      </c>
      <c r="F29" s="90">
        <f t="shared" si="7"/>
        <v>290</v>
      </c>
      <c r="G29" s="57">
        <f t="shared" si="8"/>
        <v>35</v>
      </c>
      <c r="H29" s="8">
        <f t="shared" si="3"/>
        <v>0.44971537001897532</v>
      </c>
      <c r="I29" s="8">
        <f t="shared" si="4"/>
        <v>0.87455197132616491</v>
      </c>
      <c r="J29" s="57">
        <f t="shared" si="5"/>
        <v>0.20411744302299484</v>
      </c>
      <c r="M29">
        <f>F35</f>
        <v>527</v>
      </c>
      <c r="N29">
        <f>G35</f>
        <v>279</v>
      </c>
      <c r="O29">
        <f>M29+N29</f>
        <v>806</v>
      </c>
    </row>
    <row r="30" spans="1:15" x14ac:dyDescent="0.25">
      <c r="A30" s="253" t="s">
        <v>414</v>
      </c>
      <c r="B30" s="166">
        <v>95</v>
      </c>
      <c r="C30" s="167">
        <v>60</v>
      </c>
      <c r="E30" s="124">
        <f t="shared" si="6"/>
        <v>5</v>
      </c>
      <c r="F30" s="90">
        <f t="shared" si="7"/>
        <v>413</v>
      </c>
      <c r="G30" s="57">
        <f t="shared" si="8"/>
        <v>58</v>
      </c>
      <c r="H30" s="8">
        <f t="shared" si="3"/>
        <v>0.21631878557874762</v>
      </c>
      <c r="I30" s="8">
        <f t="shared" si="4"/>
        <v>0.79211469534050183</v>
      </c>
      <c r="J30" s="57">
        <f t="shared" si="5"/>
        <v>0.14279107411261421</v>
      </c>
    </row>
    <row r="31" spans="1:15" x14ac:dyDescent="0.25">
      <c r="A31" s="253" t="s">
        <v>415</v>
      </c>
      <c r="B31" s="166">
        <v>9</v>
      </c>
      <c r="C31" s="167">
        <v>75</v>
      </c>
      <c r="E31" s="124">
        <f t="shared" si="6"/>
        <v>6</v>
      </c>
      <c r="F31" s="90">
        <f t="shared" si="7"/>
        <v>508</v>
      </c>
      <c r="G31" s="57">
        <f t="shared" si="8"/>
        <v>118</v>
      </c>
      <c r="H31" s="8">
        <f t="shared" si="3"/>
        <v>3.6053130929791233E-2</v>
      </c>
      <c r="I31" s="8">
        <f t="shared" si="4"/>
        <v>0.57706093189964158</v>
      </c>
      <c r="J31" s="57">
        <f t="shared" si="5"/>
        <v>9.8549305258003369E-3</v>
      </c>
      <c r="L31" t="s">
        <v>294</v>
      </c>
      <c r="M31" s="241">
        <f>M27/M29</f>
        <v>0.78368121442125238</v>
      </c>
      <c r="N31" s="242">
        <f>N28/N29</f>
        <v>0.79211469534050183</v>
      </c>
      <c r="O31">
        <f>(M27+N28)/O29</f>
        <v>0.78660049627791562</v>
      </c>
    </row>
    <row r="32" spans="1:15" x14ac:dyDescent="0.25">
      <c r="A32" s="253" t="s">
        <v>416</v>
      </c>
      <c r="B32" s="166">
        <v>6</v>
      </c>
      <c r="C32" s="167">
        <v>41</v>
      </c>
      <c r="E32" s="124">
        <f t="shared" si="6"/>
        <v>7</v>
      </c>
      <c r="F32" s="90">
        <f t="shared" si="7"/>
        <v>517</v>
      </c>
      <c r="G32" s="57">
        <f t="shared" si="8"/>
        <v>193</v>
      </c>
      <c r="H32" s="8">
        <f t="shared" si="3"/>
        <v>1.8975332068311146E-2</v>
      </c>
      <c r="I32" s="8">
        <f t="shared" si="4"/>
        <v>0.30824372759856633</v>
      </c>
      <c r="J32" s="57">
        <f t="shared" si="5"/>
        <v>3.5094162534941046E-3</v>
      </c>
    </row>
    <row r="33" spans="1:15" x14ac:dyDescent="0.25">
      <c r="A33" s="253" t="s">
        <v>417</v>
      </c>
      <c r="B33" s="166">
        <v>4</v>
      </c>
      <c r="C33" s="167">
        <v>30</v>
      </c>
      <c r="E33" s="124">
        <f t="shared" si="6"/>
        <v>8</v>
      </c>
      <c r="F33" s="90">
        <f t="shared" si="7"/>
        <v>523</v>
      </c>
      <c r="G33" s="57">
        <f t="shared" si="8"/>
        <v>234</v>
      </c>
      <c r="H33" s="8">
        <f t="shared" si="3"/>
        <v>7.5901328273244584E-3</v>
      </c>
      <c r="I33" s="8">
        <f t="shared" si="4"/>
        <v>0.16129032258064513</v>
      </c>
      <c r="J33" s="57">
        <f t="shared" si="5"/>
        <v>1.224214972149106E-3</v>
      </c>
      <c r="L33" t="s">
        <v>272</v>
      </c>
      <c r="M33" s="240">
        <v>5</v>
      </c>
    </row>
    <row r="34" spans="1:15" x14ac:dyDescent="0.25">
      <c r="A34" s="254" t="s">
        <v>418</v>
      </c>
      <c r="B34" s="235">
        <v>0</v>
      </c>
      <c r="C34" s="236">
        <v>15</v>
      </c>
      <c r="E34" s="124">
        <f t="shared" si="6"/>
        <v>9</v>
      </c>
      <c r="F34" s="90">
        <f t="shared" si="7"/>
        <v>527</v>
      </c>
      <c r="G34" s="57">
        <f t="shared" si="8"/>
        <v>264</v>
      </c>
      <c r="H34" s="8">
        <f t="shared" si="3"/>
        <v>0</v>
      </c>
      <c r="I34" s="8">
        <f t="shared" si="4"/>
        <v>5.3763440860215006E-2</v>
      </c>
      <c r="J34" s="57">
        <f t="shared" si="5"/>
        <v>0</v>
      </c>
    </row>
    <row r="35" spans="1:15" x14ac:dyDescent="0.25">
      <c r="B35">
        <f>SUM(B25:B34)</f>
        <v>527</v>
      </c>
      <c r="C35">
        <f>SUM(C25:C34)</f>
        <v>279</v>
      </c>
      <c r="E35" s="158">
        <f t="shared" si="6"/>
        <v>10</v>
      </c>
      <c r="F35" s="159">
        <f t="shared" si="7"/>
        <v>527</v>
      </c>
      <c r="G35" s="161">
        <f t="shared" si="8"/>
        <v>279</v>
      </c>
      <c r="H35" s="160">
        <f t="shared" si="3"/>
        <v>0</v>
      </c>
      <c r="I35" s="160">
        <f t="shared" si="4"/>
        <v>0</v>
      </c>
      <c r="J35" s="161">
        <f t="shared" si="5"/>
        <v>0</v>
      </c>
    </row>
    <row r="36" spans="1:15" x14ac:dyDescent="0.25">
      <c r="J36">
        <f>SUM(J25:J35)</f>
        <v>0.88951459876354277</v>
      </c>
    </row>
    <row r="39" spans="1:15" x14ac:dyDescent="0.25">
      <c r="A39" s="256" t="s">
        <v>441</v>
      </c>
    </row>
    <row r="41" spans="1:15" x14ac:dyDescent="0.25">
      <c r="E41" t="s">
        <v>273</v>
      </c>
    </row>
    <row r="43" spans="1:15" x14ac:dyDescent="0.25">
      <c r="A43" s="243" t="s">
        <v>304</v>
      </c>
      <c r="B43" s="244" t="s">
        <v>422</v>
      </c>
      <c r="C43" s="246" t="s">
        <v>421</v>
      </c>
      <c r="E43" s="255" t="s">
        <v>255</v>
      </c>
      <c r="F43" s="247" t="str">
        <f>B43</f>
        <v>Lives</v>
      </c>
      <c r="G43" s="249" t="str">
        <f>C43</f>
        <v>Dies</v>
      </c>
      <c r="H43" s="248" t="s">
        <v>274</v>
      </c>
      <c r="I43" s="248" t="s">
        <v>275</v>
      </c>
      <c r="J43" s="249" t="s">
        <v>276</v>
      </c>
      <c r="L43" s="383" t="s">
        <v>269</v>
      </c>
      <c r="M43" s="383"/>
      <c r="N43" s="383"/>
      <c r="O43" s="383"/>
    </row>
    <row r="44" spans="1:15" x14ac:dyDescent="0.25">
      <c r="A44" s="253" t="s">
        <v>409</v>
      </c>
      <c r="B44" s="166">
        <v>34</v>
      </c>
      <c r="C44" s="167">
        <v>3</v>
      </c>
      <c r="E44" s="124">
        <v>0</v>
      </c>
      <c r="F44" s="250">
        <v>0</v>
      </c>
      <c r="G44" s="252">
        <v>0</v>
      </c>
      <c r="H44" s="251">
        <f>1-F44/F$54</f>
        <v>1</v>
      </c>
      <c r="I44" s="251">
        <f>1-G44/G$54</f>
        <v>1</v>
      </c>
      <c r="J44" s="252">
        <f>(H44-H45)*(I44+I45)/2</f>
        <v>6.416926812348242E-2</v>
      </c>
    </row>
    <row r="45" spans="1:15" x14ac:dyDescent="0.25">
      <c r="A45" s="253" t="s">
        <v>410</v>
      </c>
      <c r="B45" s="166">
        <v>63</v>
      </c>
      <c r="C45" s="167">
        <v>7</v>
      </c>
      <c r="E45" s="124">
        <f>E44+1</f>
        <v>1</v>
      </c>
      <c r="F45" s="90">
        <f>F44+B44</f>
        <v>34</v>
      </c>
      <c r="G45" s="57">
        <f>G44+C44</f>
        <v>3</v>
      </c>
      <c r="H45" s="8">
        <f t="shared" ref="H45:H54" si="9">1-F45/F$54</f>
        <v>0.93548387096774199</v>
      </c>
      <c r="I45" s="8">
        <f t="shared" ref="I45:I54" si="10">1-G45/G$54</f>
        <v>0.989247311827957</v>
      </c>
      <c r="J45" s="57">
        <f t="shared" ref="J45:J54" si="11">(H45-H46)*(I45+I46)/2</f>
        <v>0.11675950296872138</v>
      </c>
      <c r="M45" s="238" t="s">
        <v>271</v>
      </c>
      <c r="N45" s="238" t="s">
        <v>270</v>
      </c>
    </row>
    <row r="46" spans="1:15" x14ac:dyDescent="0.25">
      <c r="A46" s="253" t="s">
        <v>411</v>
      </c>
      <c r="B46" s="166">
        <v>88</v>
      </c>
      <c r="C46" s="167">
        <v>11</v>
      </c>
      <c r="E46" s="124">
        <f t="shared" ref="E46:E54" si="12">E45+1</f>
        <v>2</v>
      </c>
      <c r="F46" s="90">
        <f t="shared" ref="F46:F54" si="13">F45+B45</f>
        <v>97</v>
      </c>
      <c r="G46" s="57">
        <f t="shared" ref="G46:G54" si="14">G45+C45</f>
        <v>10</v>
      </c>
      <c r="H46" s="8">
        <f t="shared" si="9"/>
        <v>0.81593927893738138</v>
      </c>
      <c r="I46" s="8">
        <f t="shared" si="10"/>
        <v>0.96415770609318996</v>
      </c>
      <c r="J46" s="57">
        <f t="shared" si="11"/>
        <v>0.15770609318996417</v>
      </c>
      <c r="L46" t="s">
        <v>268</v>
      </c>
      <c r="M46" s="250">
        <f>INDEX(F44:F53,M52+1)</f>
        <v>413</v>
      </c>
      <c r="N46" s="252">
        <f>INDEX(G44:G53,M52+1)</f>
        <v>58</v>
      </c>
      <c r="O46">
        <f>M46+N46</f>
        <v>471</v>
      </c>
    </row>
    <row r="47" spans="1:15" x14ac:dyDescent="0.25">
      <c r="A47" s="253" t="s">
        <v>412</v>
      </c>
      <c r="B47" s="166">
        <v>105</v>
      </c>
      <c r="C47" s="167">
        <v>14</v>
      </c>
      <c r="E47" s="124">
        <f t="shared" si="12"/>
        <v>3</v>
      </c>
      <c r="F47" s="90">
        <f t="shared" si="13"/>
        <v>185</v>
      </c>
      <c r="G47" s="57">
        <f t="shared" si="14"/>
        <v>21</v>
      </c>
      <c r="H47" s="8">
        <f t="shared" si="9"/>
        <v>0.64895635673624286</v>
      </c>
      <c r="I47" s="8">
        <f t="shared" si="10"/>
        <v>0.92473118279569888</v>
      </c>
      <c r="J47" s="57">
        <f t="shared" si="11"/>
        <v>0.17924547550549874</v>
      </c>
      <c r="L47" t="s">
        <v>267</v>
      </c>
      <c r="M47" s="159">
        <f>M48-M46</f>
        <v>114</v>
      </c>
      <c r="N47" s="161">
        <f>N48-N46</f>
        <v>221</v>
      </c>
      <c r="O47">
        <f>M47+N47</f>
        <v>335</v>
      </c>
    </row>
    <row r="48" spans="1:15" x14ac:dyDescent="0.25">
      <c r="A48" s="253" t="s">
        <v>413</v>
      </c>
      <c r="B48" s="166">
        <v>123</v>
      </c>
      <c r="C48" s="167">
        <v>23</v>
      </c>
      <c r="E48" s="124">
        <f t="shared" si="12"/>
        <v>4</v>
      </c>
      <c r="F48" s="90">
        <f t="shared" si="13"/>
        <v>290</v>
      </c>
      <c r="G48" s="57">
        <f t="shared" si="14"/>
        <v>35</v>
      </c>
      <c r="H48" s="8">
        <f t="shared" si="9"/>
        <v>0.44971537001897532</v>
      </c>
      <c r="I48" s="8">
        <f t="shared" si="10"/>
        <v>0.87455197132616491</v>
      </c>
      <c r="J48" s="57">
        <f t="shared" si="11"/>
        <v>0.19449715370018977</v>
      </c>
      <c r="M48">
        <f>F54</f>
        <v>527</v>
      </c>
      <c r="N48">
        <f>G54</f>
        <v>279</v>
      </c>
      <c r="O48">
        <f>M48+N48</f>
        <v>806</v>
      </c>
    </row>
    <row r="49" spans="1:15" x14ac:dyDescent="0.25">
      <c r="A49" s="253" t="s">
        <v>414</v>
      </c>
      <c r="B49" s="166">
        <v>95</v>
      </c>
      <c r="C49" s="167">
        <v>60</v>
      </c>
      <c r="E49" s="124">
        <f t="shared" si="12"/>
        <v>5</v>
      </c>
      <c r="F49" s="90">
        <f t="shared" si="13"/>
        <v>413</v>
      </c>
      <c r="G49" s="57">
        <f t="shared" si="14"/>
        <v>58</v>
      </c>
      <c r="H49" s="8">
        <f t="shared" si="9"/>
        <v>0.21631878557874762</v>
      </c>
      <c r="I49" s="8">
        <f t="shared" si="10"/>
        <v>0.79211469534050183</v>
      </c>
      <c r="J49" s="57">
        <f t="shared" si="11"/>
        <v>0.12340767038691997</v>
      </c>
    </row>
    <row r="50" spans="1:15" x14ac:dyDescent="0.25">
      <c r="A50" s="253" t="s">
        <v>415</v>
      </c>
      <c r="B50" s="166">
        <v>9</v>
      </c>
      <c r="C50" s="167">
        <v>75</v>
      </c>
      <c r="E50" s="124">
        <f t="shared" si="12"/>
        <v>6</v>
      </c>
      <c r="F50" s="90">
        <f t="shared" si="13"/>
        <v>508</v>
      </c>
      <c r="G50" s="57">
        <f t="shared" si="14"/>
        <v>118</v>
      </c>
      <c r="H50" s="8">
        <f t="shared" si="9"/>
        <v>3.6053130929791233E-2</v>
      </c>
      <c r="I50" s="8">
        <f t="shared" si="10"/>
        <v>0.57706093189964158</v>
      </c>
      <c r="J50" s="57">
        <f t="shared" si="11"/>
        <v>7.5595274530207554E-3</v>
      </c>
      <c r="L50" t="s">
        <v>294</v>
      </c>
      <c r="M50" s="241">
        <f>M46/M48</f>
        <v>0.78368121442125238</v>
      </c>
      <c r="N50" s="242">
        <f>N47/N48</f>
        <v>0.79211469534050183</v>
      </c>
      <c r="O50">
        <f>(M46+N47)/O48</f>
        <v>0.78660049627791562</v>
      </c>
    </row>
    <row r="51" spans="1:15" x14ac:dyDescent="0.25">
      <c r="A51" s="253" t="s">
        <v>416</v>
      </c>
      <c r="B51" s="166">
        <v>6</v>
      </c>
      <c r="C51" s="167">
        <v>41</v>
      </c>
      <c r="E51" s="124">
        <f t="shared" si="12"/>
        <v>7</v>
      </c>
      <c r="F51" s="90">
        <f t="shared" si="13"/>
        <v>517</v>
      </c>
      <c r="G51" s="57">
        <f t="shared" si="14"/>
        <v>193</v>
      </c>
      <c r="H51" s="8">
        <f t="shared" si="9"/>
        <v>1.8975332068311146E-2</v>
      </c>
      <c r="I51" s="8">
        <f t="shared" si="10"/>
        <v>0.30824372759856633</v>
      </c>
      <c r="J51" s="57">
        <f t="shared" si="11"/>
        <v>2.6728693558588819E-3</v>
      </c>
    </row>
    <row r="52" spans="1:15" x14ac:dyDescent="0.25">
      <c r="A52" s="253" t="s">
        <v>417</v>
      </c>
      <c r="B52" s="166">
        <v>4</v>
      </c>
      <c r="C52" s="167">
        <v>30</v>
      </c>
      <c r="E52" s="124">
        <f t="shared" si="12"/>
        <v>8</v>
      </c>
      <c r="F52" s="90">
        <f t="shared" si="13"/>
        <v>523</v>
      </c>
      <c r="G52" s="57">
        <f t="shared" si="14"/>
        <v>234</v>
      </c>
      <c r="H52" s="8">
        <f t="shared" si="9"/>
        <v>7.5901328273244584E-3</v>
      </c>
      <c r="I52" s="8">
        <f t="shared" si="10"/>
        <v>0.16129032258064513</v>
      </c>
      <c r="J52" s="57">
        <f t="shared" si="11"/>
        <v>8.1614331476607049E-4</v>
      </c>
      <c r="L52" t="s">
        <v>272</v>
      </c>
      <c r="M52" s="240">
        <v>5</v>
      </c>
    </row>
    <row r="53" spans="1:15" x14ac:dyDescent="0.25">
      <c r="A53" s="254" t="s">
        <v>418</v>
      </c>
      <c r="B53" s="235">
        <v>0</v>
      </c>
      <c r="C53" s="236">
        <v>15</v>
      </c>
      <c r="E53" s="124">
        <f t="shared" si="12"/>
        <v>9</v>
      </c>
      <c r="F53" s="90">
        <f t="shared" si="13"/>
        <v>527</v>
      </c>
      <c r="G53" s="57">
        <f t="shared" si="14"/>
        <v>264</v>
      </c>
      <c r="H53" s="8">
        <f t="shared" si="9"/>
        <v>0</v>
      </c>
      <c r="I53" s="8">
        <f t="shared" si="10"/>
        <v>5.3763440860215006E-2</v>
      </c>
      <c r="J53" s="57">
        <f t="shared" si="11"/>
        <v>0</v>
      </c>
    </row>
    <row r="54" spans="1:15" x14ac:dyDescent="0.25">
      <c r="B54">
        <f>SUM(B44:B53)</f>
        <v>527</v>
      </c>
      <c r="C54">
        <f>SUM(C44:C53)</f>
        <v>279</v>
      </c>
      <c r="E54" s="158">
        <f t="shared" si="12"/>
        <v>10</v>
      </c>
      <c r="F54" s="159">
        <f t="shared" si="13"/>
        <v>527</v>
      </c>
      <c r="G54" s="161">
        <f t="shared" si="14"/>
        <v>279</v>
      </c>
      <c r="H54" s="160">
        <f t="shared" si="9"/>
        <v>0</v>
      </c>
      <c r="I54" s="160">
        <f t="shared" si="10"/>
        <v>0</v>
      </c>
      <c r="J54" s="161">
        <f t="shared" si="11"/>
        <v>0</v>
      </c>
    </row>
    <row r="55" spans="1:15" x14ac:dyDescent="0.25">
      <c r="J55">
        <f>SUM(J44:J54)</f>
        <v>0.84683370399842217</v>
      </c>
    </row>
  </sheetData>
  <mergeCells count="4">
    <mergeCell ref="B5:C5"/>
    <mergeCell ref="D5:E5"/>
    <mergeCell ref="L24:O24"/>
    <mergeCell ref="L43:O43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6"/>
  <dimension ref="A1:O15"/>
  <sheetViews>
    <sheetView workbookViewId="0"/>
  </sheetViews>
  <sheetFormatPr defaultRowHeight="15" x14ac:dyDescent="0.25"/>
  <cols>
    <col min="2" max="3" width="10.28515625" customWidth="1"/>
  </cols>
  <sheetData>
    <row r="1" spans="1:15" x14ac:dyDescent="0.25">
      <c r="A1" s="1" t="s">
        <v>406</v>
      </c>
      <c r="E1" t="s">
        <v>273</v>
      </c>
      <c r="L1" t="s">
        <v>269</v>
      </c>
    </row>
    <row r="3" spans="1:15" x14ac:dyDescent="0.25">
      <c r="A3" s="243" t="s">
        <v>304</v>
      </c>
      <c r="B3" s="244" t="s">
        <v>422</v>
      </c>
      <c r="C3" s="246" t="s">
        <v>421</v>
      </c>
      <c r="E3" s="265" t="str">
        <f>A3</f>
        <v>Dosage</v>
      </c>
      <c r="F3" s="259" t="str">
        <f>B3</f>
        <v>Lives</v>
      </c>
      <c r="G3" s="261" t="str">
        <f>C3</f>
        <v>Dies</v>
      </c>
      <c r="H3" s="260" t="s">
        <v>274</v>
      </c>
      <c r="I3" s="260" t="s">
        <v>275</v>
      </c>
      <c r="J3" s="261" t="s">
        <v>276</v>
      </c>
      <c r="M3" s="239" t="s">
        <v>271</v>
      </c>
      <c r="N3" s="239" t="s">
        <v>270</v>
      </c>
    </row>
    <row r="4" spans="1:15" x14ac:dyDescent="0.25">
      <c r="A4" s="257">
        <v>2</v>
      </c>
      <c r="B4" s="166">
        <v>34</v>
      </c>
      <c r="C4" s="167">
        <v>3</v>
      </c>
      <c r="E4" s="124"/>
      <c r="F4" s="262">
        <v>0</v>
      </c>
      <c r="G4" s="264">
        <v>0</v>
      </c>
      <c r="H4" s="263">
        <f>1-F4/F$14</f>
        <v>1</v>
      </c>
      <c r="I4" s="263">
        <f>1-G4/G$14</f>
        <v>1</v>
      </c>
      <c r="J4" s="264">
        <f>(H4-H5)*(I4+I5)/2</f>
        <v>6.416926812348242E-2</v>
      </c>
      <c r="L4" t="s">
        <v>268</v>
      </c>
      <c r="M4" s="262">
        <f>INDEX(F4:F13,MATCH(M10,E5:E14)+1)</f>
        <v>413</v>
      </c>
      <c r="N4" s="264">
        <f>INDEX(G4:G13,MATCH(M10,E5:E14)+1)</f>
        <v>58</v>
      </c>
      <c r="O4">
        <f>M4+N4</f>
        <v>471</v>
      </c>
    </row>
    <row r="5" spans="1:15" x14ac:dyDescent="0.25">
      <c r="A5" s="103">
        <f>A4+2</f>
        <v>4</v>
      </c>
      <c r="B5" s="166">
        <v>63</v>
      </c>
      <c r="C5" s="167">
        <v>7</v>
      </c>
      <c r="E5" s="124">
        <f>A4</f>
        <v>2</v>
      </c>
      <c r="F5" s="90">
        <f>F4+B4</f>
        <v>34</v>
      </c>
      <c r="G5" s="57">
        <f>G4+C4</f>
        <v>3</v>
      </c>
      <c r="H5" s="8">
        <f t="shared" ref="H5:H14" si="0">1-F5/F$14</f>
        <v>0.93548387096774199</v>
      </c>
      <c r="I5" s="8">
        <f t="shared" ref="I5:I14" si="1">1-G5/G$14</f>
        <v>0.989247311827957</v>
      </c>
      <c r="J5" s="57">
        <f t="shared" ref="J5:J14" si="2">(H5-H6)*(I5+I6)/2</f>
        <v>0.11675950296872138</v>
      </c>
      <c r="L5" t="s">
        <v>267</v>
      </c>
      <c r="M5" s="159">
        <f>M6-M4</f>
        <v>114</v>
      </c>
      <c r="N5" s="161">
        <f>N6-N4</f>
        <v>221</v>
      </c>
      <c r="O5">
        <f>M5+N5</f>
        <v>335</v>
      </c>
    </row>
    <row r="6" spans="1:15" x14ac:dyDescent="0.25">
      <c r="A6" s="103">
        <f t="shared" ref="A6:A13" si="3">A5+2</f>
        <v>6</v>
      </c>
      <c r="B6" s="166">
        <v>88</v>
      </c>
      <c r="C6" s="167">
        <v>11</v>
      </c>
      <c r="E6" s="124">
        <f t="shared" ref="E6:E14" si="4">A5</f>
        <v>4</v>
      </c>
      <c r="F6" s="90">
        <f t="shared" ref="F6:F14" si="5">F5+B5</f>
        <v>97</v>
      </c>
      <c r="G6" s="57">
        <f t="shared" ref="G6:G14" si="6">G5+C5</f>
        <v>10</v>
      </c>
      <c r="H6" s="8">
        <f t="shared" si="0"/>
        <v>0.81593927893738138</v>
      </c>
      <c r="I6" s="8">
        <f t="shared" si="1"/>
        <v>0.96415770609318996</v>
      </c>
      <c r="J6" s="57">
        <f t="shared" si="2"/>
        <v>0.15770609318996417</v>
      </c>
      <c r="M6">
        <f>F14</f>
        <v>527</v>
      </c>
      <c r="N6">
        <f>G14</f>
        <v>279</v>
      </c>
      <c r="O6">
        <f>M6+N6</f>
        <v>806</v>
      </c>
    </row>
    <row r="7" spans="1:15" x14ac:dyDescent="0.25">
      <c r="A7" s="103">
        <f t="shared" si="3"/>
        <v>8</v>
      </c>
      <c r="B7" s="166">
        <v>105</v>
      </c>
      <c r="C7" s="167">
        <v>14</v>
      </c>
      <c r="E7" s="124">
        <f t="shared" si="4"/>
        <v>6</v>
      </c>
      <c r="F7" s="90">
        <f t="shared" si="5"/>
        <v>185</v>
      </c>
      <c r="G7" s="57">
        <f t="shared" si="6"/>
        <v>21</v>
      </c>
      <c r="H7" s="8">
        <f t="shared" si="0"/>
        <v>0.64895635673624286</v>
      </c>
      <c r="I7" s="8">
        <f t="shared" si="1"/>
        <v>0.92473118279569888</v>
      </c>
      <c r="J7" s="57">
        <f t="shared" si="2"/>
        <v>0.17924547550549874</v>
      </c>
    </row>
    <row r="8" spans="1:15" x14ac:dyDescent="0.25">
      <c r="A8" s="103">
        <f t="shared" si="3"/>
        <v>10</v>
      </c>
      <c r="B8" s="166">
        <v>123</v>
      </c>
      <c r="C8" s="167">
        <v>23</v>
      </c>
      <c r="E8" s="124">
        <f t="shared" si="4"/>
        <v>8</v>
      </c>
      <c r="F8" s="90">
        <f t="shared" si="5"/>
        <v>290</v>
      </c>
      <c r="G8" s="57">
        <f t="shared" si="6"/>
        <v>35</v>
      </c>
      <c r="H8" s="8">
        <f t="shared" si="0"/>
        <v>0.44971537001897532</v>
      </c>
      <c r="I8" s="8">
        <f t="shared" si="1"/>
        <v>0.87455197132616491</v>
      </c>
      <c r="J8" s="57">
        <f t="shared" si="2"/>
        <v>0.19449715370018977</v>
      </c>
      <c r="L8" t="s">
        <v>294</v>
      </c>
      <c r="M8" s="267">
        <f>M4/M6</f>
        <v>0.78368121442125238</v>
      </c>
      <c r="N8" s="268">
        <f>N5/N6</f>
        <v>0.79211469534050183</v>
      </c>
      <c r="O8">
        <f>(M4+N5)/O6</f>
        <v>0.78660049627791562</v>
      </c>
    </row>
    <row r="9" spans="1:15" x14ac:dyDescent="0.25">
      <c r="A9" s="103">
        <f t="shared" si="3"/>
        <v>12</v>
      </c>
      <c r="B9" s="166">
        <v>95</v>
      </c>
      <c r="C9" s="167">
        <v>60</v>
      </c>
      <c r="E9" s="124">
        <f t="shared" si="4"/>
        <v>10</v>
      </c>
      <c r="F9" s="90">
        <f t="shared" si="5"/>
        <v>413</v>
      </c>
      <c r="G9" s="57">
        <f t="shared" si="6"/>
        <v>58</v>
      </c>
      <c r="H9" s="8">
        <f t="shared" si="0"/>
        <v>0.21631878557874762</v>
      </c>
      <c r="I9" s="8">
        <f t="shared" si="1"/>
        <v>0.79211469534050183</v>
      </c>
      <c r="J9" s="57">
        <f t="shared" si="2"/>
        <v>0.12340767038691997</v>
      </c>
    </row>
    <row r="10" spans="1:15" x14ac:dyDescent="0.25">
      <c r="A10" s="103">
        <f t="shared" si="3"/>
        <v>14</v>
      </c>
      <c r="B10" s="166">
        <v>9</v>
      </c>
      <c r="C10" s="167">
        <v>75</v>
      </c>
      <c r="E10" s="124">
        <f t="shared" si="4"/>
        <v>12</v>
      </c>
      <c r="F10" s="90">
        <f t="shared" si="5"/>
        <v>508</v>
      </c>
      <c r="G10" s="57">
        <f t="shared" si="6"/>
        <v>118</v>
      </c>
      <c r="H10" s="8">
        <f t="shared" si="0"/>
        <v>3.6053130929791233E-2</v>
      </c>
      <c r="I10" s="8">
        <f t="shared" si="1"/>
        <v>0.57706093189964158</v>
      </c>
      <c r="J10" s="57">
        <f t="shared" si="2"/>
        <v>7.5595274530207554E-3</v>
      </c>
      <c r="L10" t="s">
        <v>272</v>
      </c>
      <c r="M10" s="266">
        <v>10</v>
      </c>
    </row>
    <row r="11" spans="1:15" x14ac:dyDescent="0.25">
      <c r="A11" s="103">
        <f t="shared" si="3"/>
        <v>16</v>
      </c>
      <c r="B11" s="166">
        <v>6</v>
      </c>
      <c r="C11" s="167">
        <v>41</v>
      </c>
      <c r="E11" s="124">
        <f t="shared" si="4"/>
        <v>14</v>
      </c>
      <c r="F11" s="90">
        <f t="shared" si="5"/>
        <v>517</v>
      </c>
      <c r="G11" s="57">
        <f t="shared" si="6"/>
        <v>193</v>
      </c>
      <c r="H11" s="8">
        <f t="shared" si="0"/>
        <v>1.8975332068311146E-2</v>
      </c>
      <c r="I11" s="8">
        <f t="shared" si="1"/>
        <v>0.30824372759856633</v>
      </c>
      <c r="J11" s="57">
        <f t="shared" si="2"/>
        <v>2.6728693558588819E-3</v>
      </c>
    </row>
    <row r="12" spans="1:15" x14ac:dyDescent="0.25">
      <c r="A12" s="103">
        <f t="shared" si="3"/>
        <v>18</v>
      </c>
      <c r="B12" s="166">
        <v>4</v>
      </c>
      <c r="C12" s="167">
        <v>30</v>
      </c>
      <c r="E12" s="124">
        <f t="shared" si="4"/>
        <v>16</v>
      </c>
      <c r="F12" s="90">
        <f t="shared" si="5"/>
        <v>523</v>
      </c>
      <c r="G12" s="57">
        <f t="shared" si="6"/>
        <v>234</v>
      </c>
      <c r="H12" s="8">
        <f t="shared" si="0"/>
        <v>7.5901328273244584E-3</v>
      </c>
      <c r="I12" s="8">
        <f t="shared" si="1"/>
        <v>0.16129032258064513</v>
      </c>
      <c r="J12" s="57">
        <f t="shared" si="2"/>
        <v>8.1614331476607049E-4</v>
      </c>
    </row>
    <row r="13" spans="1:15" x14ac:dyDescent="0.25">
      <c r="A13" s="102">
        <f t="shared" si="3"/>
        <v>20</v>
      </c>
      <c r="B13" s="235">
        <v>0</v>
      </c>
      <c r="C13" s="236">
        <v>15</v>
      </c>
      <c r="E13" s="124">
        <f t="shared" si="4"/>
        <v>18</v>
      </c>
      <c r="F13" s="90">
        <f t="shared" si="5"/>
        <v>527</v>
      </c>
      <c r="G13" s="57">
        <f t="shared" si="6"/>
        <v>264</v>
      </c>
      <c r="H13" s="8">
        <f t="shared" si="0"/>
        <v>0</v>
      </c>
      <c r="I13" s="8">
        <f t="shared" si="1"/>
        <v>5.3763440860215006E-2</v>
      </c>
      <c r="J13" s="57">
        <f t="shared" si="2"/>
        <v>0</v>
      </c>
    </row>
    <row r="14" spans="1:15" x14ac:dyDescent="0.25">
      <c r="B14">
        <f>SUM(B4:B13)</f>
        <v>527</v>
      </c>
      <c r="C14">
        <f>SUM(C4:C13)</f>
        <v>279</v>
      </c>
      <c r="E14" s="158">
        <f t="shared" si="4"/>
        <v>20</v>
      </c>
      <c r="F14" s="159">
        <f t="shared" si="5"/>
        <v>527</v>
      </c>
      <c r="G14" s="161">
        <f t="shared" si="6"/>
        <v>279</v>
      </c>
      <c r="H14" s="160">
        <f t="shared" si="0"/>
        <v>0</v>
      </c>
      <c r="I14" s="160">
        <f t="shared" si="1"/>
        <v>0</v>
      </c>
      <c r="J14" s="161">
        <f t="shared" si="2"/>
        <v>0</v>
      </c>
    </row>
    <row r="15" spans="1:15" x14ac:dyDescent="0.25">
      <c r="J15">
        <f>SUM(J4:J14)</f>
        <v>0.84683370399842217</v>
      </c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D16"/>
  <sheetViews>
    <sheetView workbookViewId="0"/>
  </sheetViews>
  <sheetFormatPr defaultRowHeight="15" x14ac:dyDescent="0.25"/>
  <cols>
    <col min="3" max="3" width="3.28515625" customWidth="1"/>
    <col min="4" max="4" width="38.28515625" customWidth="1"/>
  </cols>
  <sheetData>
    <row r="1" spans="1:4" x14ac:dyDescent="0.25">
      <c r="A1" s="1" t="s">
        <v>526</v>
      </c>
    </row>
    <row r="3" spans="1:4" x14ac:dyDescent="0.25">
      <c r="A3" t="s">
        <v>138</v>
      </c>
      <c r="B3" s="44">
        <f>'ROC 1'!M6</f>
        <v>527</v>
      </c>
    </row>
    <row r="4" spans="1:4" x14ac:dyDescent="0.25">
      <c r="A4" t="s">
        <v>139</v>
      </c>
      <c r="B4" s="91">
        <f>'ROC 1'!N6</f>
        <v>279</v>
      </c>
    </row>
    <row r="5" spans="1:4" x14ac:dyDescent="0.25">
      <c r="A5" t="s">
        <v>276</v>
      </c>
      <c r="B5" s="91">
        <f>ROC!H18</f>
        <v>0.88951459876354277</v>
      </c>
    </row>
    <row r="6" spans="1:4" x14ac:dyDescent="0.25">
      <c r="A6" t="s">
        <v>527</v>
      </c>
      <c r="B6" s="91">
        <f>B5*(1-B5)</f>
        <v>9.8278377350076287E-2</v>
      </c>
      <c r="D6" t="e">
        <f ca="1">FTEXT(B6)</f>
        <v>#NAME?</v>
      </c>
    </row>
    <row r="7" spans="1:4" x14ac:dyDescent="0.25">
      <c r="A7" t="s">
        <v>450</v>
      </c>
      <c r="B7" s="91">
        <f>B5/(2-B5)-B5^2</f>
        <v>9.7779997308394817E-3</v>
      </c>
      <c r="D7" t="e">
        <f ca="1">FTEXT(B7)</f>
        <v>#NAME?</v>
      </c>
    </row>
    <row r="8" spans="1:4" x14ac:dyDescent="0.25">
      <c r="A8" t="s">
        <v>528</v>
      </c>
      <c r="B8" s="91">
        <f>2*B5^2/(1+B5)-B5^2</f>
        <v>4.626587773012758E-2</v>
      </c>
      <c r="D8" t="e">
        <f ca="1">FTEXT(B8)</f>
        <v>#NAME?</v>
      </c>
    </row>
    <row r="9" spans="1:4" x14ac:dyDescent="0.25">
      <c r="A9" t="s">
        <v>529</v>
      </c>
      <c r="B9" s="91">
        <f>SQRT((B6+(B3-1)*B7+(B4-1)*B8)/(B3*B4))</f>
        <v>1.1096165030898116E-2</v>
      </c>
      <c r="D9" t="e">
        <f ca="1">FTEXT(B9)</f>
        <v>#NAME?</v>
      </c>
    </row>
    <row r="10" spans="1:4" x14ac:dyDescent="0.25">
      <c r="A10" t="s">
        <v>141</v>
      </c>
      <c r="B10" s="91">
        <v>0.05</v>
      </c>
      <c r="D10" t="e">
        <f ca="1">FTEXT(B10)</f>
        <v>#NAME?</v>
      </c>
    </row>
    <row r="11" spans="1:4" x14ac:dyDescent="0.25">
      <c r="A11" t="s">
        <v>177</v>
      </c>
      <c r="B11" s="91">
        <f>NORMSINV(1-B10/2)</f>
        <v>1.9599639845400536</v>
      </c>
      <c r="D11" s="22" t="s">
        <v>530</v>
      </c>
    </row>
    <row r="12" spans="1:4" x14ac:dyDescent="0.25">
      <c r="A12" t="s">
        <v>102</v>
      </c>
      <c r="B12" s="91">
        <f>B5-B11*B9</f>
        <v>0.86776651493646972</v>
      </c>
      <c r="D12" t="e">
        <f ca="1">FTEXT(B12)</f>
        <v>#NAME?</v>
      </c>
    </row>
    <row r="13" spans="1:4" x14ac:dyDescent="0.25">
      <c r="A13" t="s">
        <v>103</v>
      </c>
      <c r="B13" s="85">
        <f>B5+B11*B9</f>
        <v>0.91126268259061582</v>
      </c>
      <c r="D13" t="e">
        <f ca="1">FTEXT(B13)</f>
        <v>#NAME?</v>
      </c>
    </row>
    <row r="15" spans="1:4" x14ac:dyDescent="0.25">
      <c r="A15" t="s">
        <v>102</v>
      </c>
      <c r="B15" s="44" t="e">
        <f ca="1">AUC_LOWER(B5,B3,B4)</f>
        <v>#NAME?</v>
      </c>
      <c r="D15" t="e">
        <f ca="1">FTEXT(B15)</f>
        <v>#NAME?</v>
      </c>
    </row>
    <row r="16" spans="1:4" x14ac:dyDescent="0.25">
      <c r="A16" t="s">
        <v>103</v>
      </c>
      <c r="B16" s="85" t="e">
        <f ca="1">AUC_UPPER(B5,B3,B4)</f>
        <v>#NAME?</v>
      </c>
      <c r="D16" t="e">
        <f ca="1">FTEXT(B16)</f>
        <v>#NAME?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8"/>
  <dimension ref="A1:H26"/>
  <sheetViews>
    <sheetView workbookViewId="0"/>
  </sheetViews>
  <sheetFormatPr defaultRowHeight="15" x14ac:dyDescent="0.25"/>
  <sheetData>
    <row r="1" spans="1:8" x14ac:dyDescent="0.25">
      <c r="A1" s="1" t="s">
        <v>365</v>
      </c>
    </row>
    <row r="2" spans="1:8" x14ac:dyDescent="0.25">
      <c r="A2" s="1"/>
    </row>
    <row r="3" spans="1:8" s="19" customFormat="1" x14ac:dyDescent="0.25">
      <c r="A3" s="19" t="s">
        <v>136</v>
      </c>
      <c r="C3" s="19" t="s">
        <v>366</v>
      </c>
      <c r="E3" s="19" t="s">
        <v>367</v>
      </c>
    </row>
    <row r="4" spans="1:8" x14ac:dyDescent="0.25">
      <c r="A4" s="195">
        <v>3</v>
      </c>
      <c r="C4" s="195" t="e">
        <f t="array" aca="1" ref="C4:C23" ca="1">TRIMDATA(A4:A23,0.3)</f>
        <v>#NAME?</v>
      </c>
      <c r="E4" s="195" t="e">
        <f t="array" aca="1" ref="E4:E23" ca="1">WINSORIZE(A4:A23,0.3)</f>
        <v>#NAME?</v>
      </c>
      <c r="H4" s="19"/>
    </row>
    <row r="5" spans="1:8" x14ac:dyDescent="0.25">
      <c r="A5" s="91">
        <v>4</v>
      </c>
      <c r="C5" s="91" t="e">
        <f ca="1"/>
        <v>#NAME?</v>
      </c>
      <c r="E5" s="91" t="e">
        <f ca="1"/>
        <v>#NAME?</v>
      </c>
      <c r="H5" s="19"/>
    </row>
    <row r="6" spans="1:8" x14ac:dyDescent="0.25">
      <c r="A6" s="91">
        <v>6</v>
      </c>
      <c r="C6" s="91" t="e">
        <f ca="1"/>
        <v>#NAME?</v>
      </c>
      <c r="E6" s="91" t="e">
        <f ca="1"/>
        <v>#NAME?</v>
      </c>
      <c r="H6" s="19"/>
    </row>
    <row r="7" spans="1:8" x14ac:dyDescent="0.25">
      <c r="A7" s="91">
        <v>9</v>
      </c>
      <c r="C7" s="91" t="e">
        <f ca="1"/>
        <v>#NAME?</v>
      </c>
      <c r="E7" s="91" t="e">
        <f ca="1"/>
        <v>#NAME?</v>
      </c>
    </row>
    <row r="8" spans="1:8" x14ac:dyDescent="0.25">
      <c r="A8" s="91">
        <v>9</v>
      </c>
      <c r="C8" s="91" t="e">
        <f ca="1"/>
        <v>#NAME?</v>
      </c>
      <c r="E8" s="91" t="e">
        <f ca="1"/>
        <v>#NAME?</v>
      </c>
    </row>
    <row r="9" spans="1:8" x14ac:dyDescent="0.25">
      <c r="A9" s="91">
        <v>3</v>
      </c>
      <c r="C9" s="91" t="e">
        <f ca="1"/>
        <v>#NAME?</v>
      </c>
      <c r="E9" s="91" t="e">
        <f ca="1"/>
        <v>#NAME?</v>
      </c>
    </row>
    <row r="10" spans="1:8" x14ac:dyDescent="0.25">
      <c r="A10" s="91">
        <v>4</v>
      </c>
      <c r="C10" s="91" t="e">
        <f ca="1"/>
        <v>#NAME?</v>
      </c>
      <c r="E10" s="91" t="e">
        <f ca="1"/>
        <v>#NAME?</v>
      </c>
    </row>
    <row r="11" spans="1:8" x14ac:dyDescent="0.25">
      <c r="A11" s="91">
        <v>5</v>
      </c>
      <c r="C11" s="91" t="e">
        <f ca="1"/>
        <v>#NAME?</v>
      </c>
      <c r="E11" s="91" t="e">
        <f ca="1"/>
        <v>#NAME?</v>
      </c>
    </row>
    <row r="12" spans="1:8" x14ac:dyDescent="0.25">
      <c r="A12" s="91">
        <v>7</v>
      </c>
      <c r="C12" s="91" t="e">
        <f ca="1"/>
        <v>#NAME?</v>
      </c>
      <c r="E12" s="91" t="e">
        <f ca="1"/>
        <v>#NAME?</v>
      </c>
    </row>
    <row r="13" spans="1:8" x14ac:dyDescent="0.25">
      <c r="A13" s="91">
        <v>5</v>
      </c>
      <c r="C13" s="91" t="e">
        <f ca="1"/>
        <v>#NAME?</v>
      </c>
      <c r="E13" s="91" t="e">
        <f ca="1"/>
        <v>#NAME?</v>
      </c>
    </row>
    <row r="14" spans="1:8" x14ac:dyDescent="0.25">
      <c r="A14" s="91">
        <v>40</v>
      </c>
      <c r="C14" s="91" t="e">
        <f ca="1"/>
        <v>#NAME?</v>
      </c>
      <c r="E14" s="91" t="e">
        <f ca="1"/>
        <v>#NAME?</v>
      </c>
    </row>
    <row r="15" spans="1:8" x14ac:dyDescent="0.25">
      <c r="A15" s="91">
        <v>1</v>
      </c>
      <c r="C15" s="91" t="e">
        <f ca="1"/>
        <v>#NAME?</v>
      </c>
      <c r="E15" s="91" t="e">
        <f ca="1"/>
        <v>#NAME?</v>
      </c>
    </row>
    <row r="16" spans="1:8" x14ac:dyDescent="0.25">
      <c r="A16" s="91">
        <v>0</v>
      </c>
      <c r="C16" s="91" t="e">
        <f ca="1"/>
        <v>#NAME?</v>
      </c>
      <c r="E16" s="91" t="e">
        <f ca="1"/>
        <v>#NAME?</v>
      </c>
    </row>
    <row r="17" spans="1:5" x14ac:dyDescent="0.25">
      <c r="A17" s="91">
        <v>8</v>
      </c>
      <c r="C17" s="91" t="e">
        <f ca="1"/>
        <v>#NAME?</v>
      </c>
      <c r="E17" s="91" t="e">
        <f ca="1"/>
        <v>#NAME?</v>
      </c>
    </row>
    <row r="18" spans="1:5" x14ac:dyDescent="0.25">
      <c r="A18" s="91">
        <v>30</v>
      </c>
      <c r="C18" s="91" t="e">
        <f ca="1"/>
        <v>#NAME?</v>
      </c>
      <c r="E18" s="91" t="e">
        <f ca="1"/>
        <v>#NAME?</v>
      </c>
    </row>
    <row r="19" spans="1:5" x14ac:dyDescent="0.25">
      <c r="A19" s="91">
        <v>1</v>
      </c>
      <c r="C19" s="91" t="e">
        <f ca="1"/>
        <v>#NAME?</v>
      </c>
      <c r="E19" s="91" t="e">
        <f ca="1"/>
        <v>#NAME?</v>
      </c>
    </row>
    <row r="20" spans="1:5" x14ac:dyDescent="0.25">
      <c r="A20" s="91">
        <v>7</v>
      </c>
      <c r="C20" s="91" t="e">
        <f ca="1"/>
        <v>#NAME?</v>
      </c>
      <c r="E20" s="91" t="e">
        <f ca="1"/>
        <v>#NAME?</v>
      </c>
    </row>
    <row r="21" spans="1:5" x14ac:dyDescent="0.25">
      <c r="A21" s="91">
        <v>5</v>
      </c>
      <c r="C21" s="91" t="e">
        <f ca="1"/>
        <v>#NAME?</v>
      </c>
      <c r="E21" s="91" t="e">
        <f ca="1"/>
        <v>#NAME?</v>
      </c>
    </row>
    <row r="22" spans="1:5" x14ac:dyDescent="0.25">
      <c r="A22" s="91">
        <v>4</v>
      </c>
      <c r="C22" s="91" t="e">
        <f ca="1"/>
        <v>#NAME?</v>
      </c>
      <c r="E22" s="91" t="e">
        <f ca="1"/>
        <v>#NAME?</v>
      </c>
    </row>
    <row r="23" spans="1:5" x14ac:dyDescent="0.25">
      <c r="A23" s="85">
        <v>2</v>
      </c>
      <c r="C23" s="85" t="e">
        <f ca="1"/>
        <v>#NAME?</v>
      </c>
      <c r="E23" s="85" t="e">
        <f ca="1"/>
        <v>#NAME?</v>
      </c>
    </row>
    <row r="24" spans="1:5" x14ac:dyDescent="0.25">
      <c r="A24">
        <f>AVERAGE(A4:A23)</f>
        <v>7.65</v>
      </c>
      <c r="C24" t="e">
        <f ca="1">AVERAGE(C4:C23)</f>
        <v>#NAME?</v>
      </c>
      <c r="E24" t="e">
        <f ca="1">AVERAGE(E4:E23)</f>
        <v>#NAME?</v>
      </c>
    </row>
    <row r="26" spans="1:5" x14ac:dyDescent="0.25">
      <c r="C26" s="105">
        <f>TRIMMEAN(A4:A23,0.3)</f>
        <v>5.1428571428571432</v>
      </c>
      <c r="E26" s="105" t="e">
        <f ca="1">WINMEAN(A4:A23,0.3)</f>
        <v>#NAME?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6"/>
  <dimension ref="A1:W24"/>
  <sheetViews>
    <sheetView workbookViewId="0"/>
  </sheetViews>
  <sheetFormatPr defaultRowHeight="15" x14ac:dyDescent="0.25"/>
  <cols>
    <col min="1" max="1" width="11.5703125" customWidth="1"/>
    <col min="2" max="15" width="9.42578125" customWidth="1"/>
    <col min="17" max="17" width="11.5703125" customWidth="1"/>
  </cols>
  <sheetData>
    <row r="1" spans="1:23" x14ac:dyDescent="0.25">
      <c r="A1" s="1" t="s">
        <v>442</v>
      </c>
    </row>
    <row r="3" spans="1:23" x14ac:dyDescent="0.25">
      <c r="A3" s="127"/>
      <c r="B3" s="128" t="s">
        <v>150</v>
      </c>
      <c r="C3" s="128" t="s">
        <v>152</v>
      </c>
      <c r="D3" s="128" t="s">
        <v>153</v>
      </c>
      <c r="E3" s="128" t="s">
        <v>154</v>
      </c>
      <c r="F3" s="128" t="s">
        <v>156</v>
      </c>
      <c r="G3" s="128" t="s">
        <v>23</v>
      </c>
      <c r="I3" t="e">
        <f t="array" aca="1" ref="I3:O22" ca="1">DELROWBLANK(A3:G22,TRUE)</f>
        <v>#NAME?</v>
      </c>
      <c r="J3" t="e">
        <f ca="1"/>
        <v>#NAME?</v>
      </c>
      <c r="K3" t="e">
        <f ca="1"/>
        <v>#NAME?</v>
      </c>
      <c r="L3" t="e">
        <f ca="1"/>
        <v>#NAME?</v>
      </c>
      <c r="M3" t="e">
        <f ca="1"/>
        <v>#NAME?</v>
      </c>
      <c r="N3" t="e">
        <f ca="1"/>
        <v>#NAME?</v>
      </c>
      <c r="O3" t="e">
        <f ca="1"/>
        <v>#NAME?</v>
      </c>
      <c r="Q3" t="e">
        <f t="array" aca="1" ref="Q3:W18" ca="1">DELROWBLANK(A3:G22,TRUE)</f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</row>
    <row r="4" spans="1:23" x14ac:dyDescent="0.25">
      <c r="A4" s="123" t="s">
        <v>157</v>
      </c>
      <c r="B4" s="129">
        <v>15.7</v>
      </c>
      <c r="C4" s="131">
        <v>71.027177760140717</v>
      </c>
      <c r="D4" s="132">
        <v>448</v>
      </c>
      <c r="E4" s="133">
        <v>218.17340830567619</v>
      </c>
      <c r="F4" s="135">
        <v>22</v>
      </c>
      <c r="G4" s="137">
        <v>42666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  <c r="Q4" t="e">
        <f ca="1"/>
        <v>#NAME?</v>
      </c>
      <c r="R4" s="154" t="e">
        <f ca="1"/>
        <v>#NAME?</v>
      </c>
      <c r="S4" s="178" t="e">
        <f ca="1"/>
        <v>#NAME?</v>
      </c>
      <c r="T4" s="178" t="e">
        <f ca="1"/>
        <v>#NAME?</v>
      </c>
      <c r="U4" s="178" t="e">
        <f ca="1"/>
        <v>#NAME?</v>
      </c>
      <c r="V4" s="178" t="e">
        <f ca="1"/>
        <v>#NAME?</v>
      </c>
      <c r="W4" s="156" t="e">
        <f ca="1"/>
        <v>#NAME?</v>
      </c>
    </row>
    <row r="5" spans="1:23" x14ac:dyDescent="0.25">
      <c r="A5" s="123" t="s">
        <v>158</v>
      </c>
      <c r="B5" s="129">
        <v>8.4</v>
      </c>
      <c r="C5" s="131">
        <v>70.62318863808899</v>
      </c>
      <c r="D5" s="132">
        <v>661.2</v>
      </c>
      <c r="E5" s="133">
        <v>228.45028196578826</v>
      </c>
      <c r="F5" s="135">
        <v>27.3</v>
      </c>
      <c r="G5" s="137">
        <v>68460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Q5" t="e">
        <f ca="1"/>
        <v>#NAME?</v>
      </c>
      <c r="R5" s="92" t="e">
        <f ca="1"/>
        <v>#NAME?</v>
      </c>
      <c r="S5" s="8" t="e">
        <f ca="1"/>
        <v>#NAME?</v>
      </c>
      <c r="T5" s="8" t="e">
        <f ca="1"/>
        <v>#NAME?</v>
      </c>
      <c r="U5" s="8" t="e">
        <f ca="1"/>
        <v>#NAME?</v>
      </c>
      <c r="V5" s="8" t="e">
        <f ca="1"/>
        <v>#NAME?</v>
      </c>
      <c r="W5" s="93" t="e">
        <f ca="1"/>
        <v>#NAME?</v>
      </c>
    </row>
    <row r="6" spans="1:23" x14ac:dyDescent="0.25">
      <c r="A6" s="123" t="s">
        <v>159</v>
      </c>
      <c r="B6" s="129">
        <v>14.7</v>
      </c>
      <c r="C6" s="131">
        <v>86.505696765320337</v>
      </c>
      <c r="D6" s="132">
        <v>482.7</v>
      </c>
      <c r="E6" s="133">
        <v>209.66657175716827</v>
      </c>
      <c r="F6" s="135">
        <v>25.1</v>
      </c>
      <c r="G6" s="137">
        <v>50958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Q6" t="e">
        <f ca="1"/>
        <v>#NAME?</v>
      </c>
      <c r="R6" s="92" t="e">
        <f ca="1"/>
        <v>#NAME?</v>
      </c>
      <c r="S6" s="8" t="e">
        <f ca="1"/>
        <v>#NAME?</v>
      </c>
      <c r="T6" s="8" t="e">
        <f ca="1"/>
        <v>#NAME?</v>
      </c>
      <c r="U6" s="8" t="e">
        <f ca="1"/>
        <v>#NAME?</v>
      </c>
      <c r="V6" s="8" t="e">
        <f ca="1"/>
        <v>#NAME?</v>
      </c>
      <c r="W6" s="93" t="e">
        <f ca="1"/>
        <v>#NAME?</v>
      </c>
    </row>
    <row r="7" spans="1:23" x14ac:dyDescent="0.25">
      <c r="A7" s="123" t="s">
        <v>160</v>
      </c>
      <c r="B7" s="129">
        <v>17.3</v>
      </c>
      <c r="C7" s="131">
        <v>80.783955956979611</v>
      </c>
      <c r="D7" s="132"/>
      <c r="E7" s="133">
        <v>203.42285988234826</v>
      </c>
      <c r="F7" s="135">
        <v>18.8</v>
      </c>
      <c r="G7" s="137">
        <v>38815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Q7" t="e">
        <f ca="1"/>
        <v>#NAME?</v>
      </c>
      <c r="R7" s="92" t="e">
        <f ca="1"/>
        <v>#NAME?</v>
      </c>
      <c r="S7" s="8" t="e">
        <f ca="1"/>
        <v>#NAME?</v>
      </c>
      <c r="T7" s="8" t="e">
        <f ca="1"/>
        <v>#NAME?</v>
      </c>
      <c r="U7" s="8" t="e">
        <f ca="1"/>
        <v>#NAME?</v>
      </c>
      <c r="V7" s="8" t="e">
        <f ca="1"/>
        <v>#NAME?</v>
      </c>
      <c r="W7" s="93" t="e">
        <f ca="1"/>
        <v>#NAME?</v>
      </c>
    </row>
    <row r="8" spans="1:23" x14ac:dyDescent="0.25">
      <c r="A8" s="123" t="s">
        <v>161</v>
      </c>
      <c r="B8" s="129">
        <v>13.3</v>
      </c>
      <c r="C8" s="131">
        <v>76.640052174481781</v>
      </c>
      <c r="D8" s="132">
        <v>522.6</v>
      </c>
      <c r="E8" s="133">
        <v>268.69056049813605</v>
      </c>
      <c r="F8" s="135">
        <v>29.6</v>
      </c>
      <c r="G8" s="137">
        <v>61021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  <c r="Q8" t="e">
        <f ca="1"/>
        <v>#NAME?</v>
      </c>
      <c r="R8" s="92" t="e">
        <f ca="1"/>
        <v>#NAME?</v>
      </c>
      <c r="S8" s="8" t="e">
        <f ca="1"/>
        <v>#NAME?</v>
      </c>
      <c r="T8" s="8" t="e">
        <f ca="1"/>
        <v>#NAME?</v>
      </c>
      <c r="U8" s="8" t="e">
        <f ca="1"/>
        <v>#NAME?</v>
      </c>
      <c r="V8" s="8" t="e">
        <f ca="1"/>
        <v>#NAME?</v>
      </c>
      <c r="W8" s="93" t="e">
        <f ca="1"/>
        <v>#NAME?</v>
      </c>
    </row>
    <row r="9" spans="1:23" x14ac:dyDescent="0.25">
      <c r="A9" s="123" t="s">
        <v>162</v>
      </c>
      <c r="B9" s="129"/>
      <c r="C9" s="131">
        <v>89.734092175332663</v>
      </c>
      <c r="D9" s="132">
        <v>347.8</v>
      </c>
      <c r="E9" s="133">
        <v>259.68608874672964</v>
      </c>
      <c r="F9" s="135">
        <v>35.6</v>
      </c>
      <c r="G9" s="137">
        <v>56993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Q9" t="e">
        <f ca="1"/>
        <v>#NAME?</v>
      </c>
      <c r="R9" s="92" t="e">
        <f ca="1"/>
        <v>#NAME?</v>
      </c>
      <c r="S9" s="8" t="e">
        <f ca="1"/>
        <v>#NAME?</v>
      </c>
      <c r="T9" s="8" t="e">
        <f ca="1"/>
        <v>#NAME?</v>
      </c>
      <c r="U9" s="8" t="e">
        <f ca="1"/>
        <v>#NAME?</v>
      </c>
      <c r="V9" s="8" t="e">
        <f ca="1"/>
        <v>#NAME?</v>
      </c>
      <c r="W9" s="93" t="e">
        <f ca="1"/>
        <v>#NAME?</v>
      </c>
    </row>
    <row r="10" spans="1:23" x14ac:dyDescent="0.25">
      <c r="A10" s="123" t="s">
        <v>163</v>
      </c>
      <c r="B10" s="129">
        <v>9.3000000000000007</v>
      </c>
      <c r="C10" s="131">
        <v>84.278652322083644</v>
      </c>
      <c r="D10" s="132">
        <v>256</v>
      </c>
      <c r="E10" s="133">
        <v>376.3752669155395</v>
      </c>
      <c r="F10" s="135">
        <v>35.6</v>
      </c>
      <c r="G10" s="137">
        <v>68595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Q10" t="e">
        <f ca="1"/>
        <v>#NAME?</v>
      </c>
      <c r="R10" s="92" t="e">
        <f ca="1"/>
        <v>#NAME?</v>
      </c>
      <c r="S10" s="8" t="e">
        <f ca="1"/>
        <v>#NAME?</v>
      </c>
      <c r="T10" s="8" t="e">
        <f ca="1"/>
        <v>#NAME?</v>
      </c>
      <c r="U10" s="8" t="e">
        <f ca="1"/>
        <v>#NAME?</v>
      </c>
      <c r="V10" s="8" t="e">
        <f ca="1"/>
        <v>#NAME?</v>
      </c>
      <c r="W10" s="93" t="e">
        <f ca="1"/>
        <v>#NAME?</v>
      </c>
    </row>
    <row r="11" spans="1:23" x14ac:dyDescent="0.25">
      <c r="A11" s="123" t="s">
        <v>164</v>
      </c>
      <c r="B11" s="138">
        <v>10</v>
      </c>
      <c r="C11" s="131">
        <v>74.266056727126113</v>
      </c>
      <c r="D11" s="132">
        <v>689.2</v>
      </c>
      <c r="E11" s="133">
        <v>250.94175668510928</v>
      </c>
      <c r="F11" s="135">
        <v>27.5</v>
      </c>
      <c r="G11" s="137">
        <v>57989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t="e">
        <f ca="1"/>
        <v>#NAME?</v>
      </c>
      <c r="Q11" t="e">
        <f ca="1"/>
        <v>#NAME?</v>
      </c>
      <c r="R11" s="92" t="e">
        <f ca="1"/>
        <v>#NAME?</v>
      </c>
      <c r="S11" s="8" t="e">
        <f ca="1"/>
        <v>#NAME?</v>
      </c>
      <c r="T11" s="8" t="e">
        <f ca="1"/>
        <v>#NAME?</v>
      </c>
      <c r="U11" s="8" t="e">
        <f ca="1"/>
        <v>#NAME?</v>
      </c>
      <c r="V11" s="8" t="e">
        <f ca="1"/>
        <v>#NAME?</v>
      </c>
      <c r="W11" s="93" t="e">
        <f ca="1"/>
        <v>#NAME?</v>
      </c>
    </row>
    <row r="12" spans="1:23" x14ac:dyDescent="0.25">
      <c r="A12" s="123" t="s">
        <v>165</v>
      </c>
      <c r="B12" s="129">
        <v>13.2</v>
      </c>
      <c r="C12" s="131">
        <v>79.811068541941054</v>
      </c>
      <c r="D12" s="132">
        <v>722.6</v>
      </c>
      <c r="E12" s="133">
        <v>247.86359820579941</v>
      </c>
      <c r="F12" s="135">
        <v>25.8</v>
      </c>
      <c r="G12" s="137">
        <v>47778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t="e">
        <f ca="1"/>
        <v>#NAME?</v>
      </c>
      <c r="Q12" t="e">
        <f ca="1"/>
        <v>#NAME?</v>
      </c>
      <c r="R12" s="92" t="e">
        <f ca="1"/>
        <v>#NAME?</v>
      </c>
      <c r="S12" s="8" t="e">
        <f ca="1"/>
        <v>#NAME?</v>
      </c>
      <c r="T12" s="8" t="e">
        <f ca="1"/>
        <v>#NAME?</v>
      </c>
      <c r="U12" s="8" t="e">
        <f ca="1"/>
        <v>#NAME?</v>
      </c>
      <c r="V12" s="8" t="e">
        <f ca="1"/>
        <v>#NAME?</v>
      </c>
      <c r="W12" s="93" t="e">
        <f ca="1"/>
        <v>#NAME?</v>
      </c>
    </row>
    <row r="13" spans="1:23" x14ac:dyDescent="0.25">
      <c r="A13" s="123" t="s">
        <v>166</v>
      </c>
      <c r="B13" s="129">
        <v>14.7</v>
      </c>
      <c r="C13" s="131">
        <v>65.387718279566343</v>
      </c>
      <c r="D13" s="132">
        <v>493.2</v>
      </c>
      <c r="E13" s="133">
        <v>217.44570184044454</v>
      </c>
      <c r="F13" s="135">
        <v>27.5</v>
      </c>
      <c r="G13" s="137">
        <v>50861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Q13" t="e">
        <f ca="1"/>
        <v>#NAME?</v>
      </c>
      <c r="R13" s="92" t="e">
        <f ca="1"/>
        <v>#NAME?</v>
      </c>
      <c r="S13" s="8" t="e">
        <f ca="1"/>
        <v>#NAME?</v>
      </c>
      <c r="T13" s="8" t="e">
        <f ca="1"/>
        <v>#NAME?</v>
      </c>
      <c r="U13" s="8" t="e">
        <f ca="1"/>
        <v>#NAME?</v>
      </c>
      <c r="V13" s="8" t="e">
        <f ca="1"/>
        <v>#NAME?</v>
      </c>
      <c r="W13" s="93" t="e">
        <f ca="1"/>
        <v>#NAME?</v>
      </c>
    </row>
    <row r="14" spans="1:23" x14ac:dyDescent="0.25">
      <c r="A14" s="123" t="s">
        <v>167</v>
      </c>
      <c r="B14" s="129">
        <v>9.1</v>
      </c>
      <c r="C14" s="131">
        <v>29.667333748383395</v>
      </c>
      <c r="D14" s="132">
        <v>272.8</v>
      </c>
      <c r="E14" s="133">
        <v>316.98289278791503</v>
      </c>
      <c r="F14" s="135">
        <v>29.1</v>
      </c>
      <c r="G14" s="137">
        <v>67214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Q14" t="e">
        <f ca="1"/>
        <v>#NAME?</v>
      </c>
      <c r="R14" s="92" t="e">
        <f ca="1"/>
        <v>#NAME?</v>
      </c>
      <c r="S14" s="8" t="e">
        <f ca="1"/>
        <v>#NAME?</v>
      </c>
      <c r="T14" s="8" t="e">
        <f ca="1"/>
        <v>#NAME?</v>
      </c>
      <c r="U14" s="8" t="e">
        <f ca="1"/>
        <v>#NAME?</v>
      </c>
      <c r="V14" s="8" t="e">
        <f ca="1"/>
        <v>#NAME?</v>
      </c>
      <c r="W14" s="93" t="e">
        <f ca="1"/>
        <v>#NAME?</v>
      </c>
    </row>
    <row r="15" spans="1:23" x14ac:dyDescent="0.25">
      <c r="A15" s="123" t="s">
        <v>168</v>
      </c>
      <c r="B15" s="129"/>
      <c r="C15" s="131">
        <v>94.600660447193093</v>
      </c>
      <c r="D15" s="132">
        <v>239.4</v>
      </c>
      <c r="E15" s="133">
        <v>168.83390313104681</v>
      </c>
      <c r="F15" s="135">
        <v>24</v>
      </c>
      <c r="G15" s="137">
        <v>47576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Q15" t="e">
        <f ca="1"/>
        <v>#NAME?</v>
      </c>
      <c r="R15" s="92" t="e">
        <f ca="1"/>
        <v>#NAME?</v>
      </c>
      <c r="S15" s="8" t="e">
        <f ca="1"/>
        <v>#NAME?</v>
      </c>
      <c r="T15" s="8" t="e">
        <f ca="1"/>
        <v>#NAME?</v>
      </c>
      <c r="U15" s="8" t="e">
        <f ca="1"/>
        <v>#NAME?</v>
      </c>
      <c r="V15" s="8" t="e">
        <f ca="1"/>
        <v>#NAME?</v>
      </c>
      <c r="W15" s="93" t="e">
        <f ca="1"/>
        <v>#NAME?</v>
      </c>
    </row>
    <row r="16" spans="1:23" x14ac:dyDescent="0.25">
      <c r="A16" s="123" t="s">
        <v>169</v>
      </c>
      <c r="B16" s="129">
        <v>12.2</v>
      </c>
      <c r="C16" s="131">
        <v>79.13310968601246</v>
      </c>
      <c r="D16" s="132">
        <v>533.20000000000005</v>
      </c>
      <c r="E16" s="133">
        <v>280.15386787687231</v>
      </c>
      <c r="F16" s="135">
        <v>29.9</v>
      </c>
      <c r="G16" s="137">
        <v>56235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Q16" t="e">
        <f ca="1"/>
        <v>#NAME?</v>
      </c>
      <c r="R16" s="92" t="e">
        <f ca="1"/>
        <v>#NAME?</v>
      </c>
      <c r="S16" s="8" t="e">
        <f ca="1"/>
        <v>#NAME?</v>
      </c>
      <c r="T16" s="8" t="e">
        <f ca="1"/>
        <v>#NAME?</v>
      </c>
      <c r="U16" s="8" t="e">
        <f ca="1"/>
        <v>#NAME?</v>
      </c>
      <c r="V16" s="8" t="e">
        <f ca="1"/>
        <v>#NAME?</v>
      </c>
      <c r="W16" s="93" t="e">
        <f ca="1"/>
        <v>#NAME?</v>
      </c>
    </row>
    <row r="17" spans="1:23" x14ac:dyDescent="0.25">
      <c r="A17" s="123" t="s">
        <v>170</v>
      </c>
      <c r="B17" s="129">
        <v>13.1</v>
      </c>
      <c r="C17" s="131"/>
      <c r="D17" s="132"/>
      <c r="E17" s="133">
        <v>216.93969975987483</v>
      </c>
      <c r="F17" s="135"/>
      <c r="G17" s="137">
        <v>47966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Q17" t="e">
        <f ca="1"/>
        <v>#NAME?</v>
      </c>
      <c r="R17" s="92" t="e">
        <f ca="1"/>
        <v>#NAME?</v>
      </c>
      <c r="S17" s="8" t="e">
        <f ca="1"/>
        <v>#NAME?</v>
      </c>
      <c r="T17" s="8" t="e">
        <f ca="1"/>
        <v>#NAME?</v>
      </c>
      <c r="U17" s="8" t="e">
        <f ca="1"/>
        <v>#NAME?</v>
      </c>
      <c r="V17" s="8" t="e">
        <f ca="1"/>
        <v>#NAME?</v>
      </c>
      <c r="W17" s="93" t="e">
        <f ca="1"/>
        <v>#NAME?</v>
      </c>
    </row>
    <row r="18" spans="1:23" x14ac:dyDescent="0.25">
      <c r="A18" s="123" t="s">
        <v>171</v>
      </c>
      <c r="B18" s="129">
        <v>11.5</v>
      </c>
      <c r="C18" s="131">
        <v>94.170464820794294</v>
      </c>
      <c r="D18" s="132">
        <v>294.7</v>
      </c>
      <c r="E18" s="133">
        <v>189.28322428402873</v>
      </c>
      <c r="F18" s="135">
        <v>24.3</v>
      </c>
      <c r="G18" s="137">
        <v>48980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Q18" t="e">
        <f ca="1"/>
        <v>#NAME?</v>
      </c>
      <c r="R18" s="80" t="e">
        <f ca="1"/>
        <v>#NAME?</v>
      </c>
      <c r="S18" s="162" t="e">
        <f ca="1"/>
        <v>#NAME?</v>
      </c>
      <c r="T18" s="162" t="e">
        <f ca="1"/>
        <v>#NAME?</v>
      </c>
      <c r="U18" s="162" t="e">
        <f ca="1"/>
        <v>#NAME?</v>
      </c>
      <c r="V18" s="162" t="e">
        <f ca="1"/>
        <v>#NAME?</v>
      </c>
      <c r="W18" s="83" t="e">
        <f ca="1"/>
        <v>#NAME?</v>
      </c>
    </row>
    <row r="19" spans="1:23" x14ac:dyDescent="0.25">
      <c r="A19" s="123" t="s">
        <v>172</v>
      </c>
      <c r="B19" s="129">
        <v>11.3</v>
      </c>
      <c r="C19" s="131">
        <v>88.703716524620162</v>
      </c>
      <c r="D19" s="132">
        <v>452.7</v>
      </c>
      <c r="E19" s="133">
        <v>222.54770859752097</v>
      </c>
      <c r="F19" s="135">
        <v>29.6</v>
      </c>
      <c r="G19" s="137">
        <v>50177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</row>
    <row r="20" spans="1:23" x14ac:dyDescent="0.25">
      <c r="A20" s="123" t="s">
        <v>173</v>
      </c>
      <c r="B20" s="129">
        <v>17.3</v>
      </c>
      <c r="C20" s="131">
        <v>89.904327345935869</v>
      </c>
      <c r="D20" s="132">
        <v>295</v>
      </c>
      <c r="E20" s="133">
        <v>232.34854500664258</v>
      </c>
      <c r="F20" s="135">
        <v>19.7</v>
      </c>
      <c r="G20" s="137">
        <v>41538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</row>
    <row r="21" spans="1:23" x14ac:dyDescent="0.25">
      <c r="A21" s="53" t="s">
        <v>174</v>
      </c>
      <c r="B21" s="129">
        <v>17.3</v>
      </c>
      <c r="C21" s="139">
        <v>64.839543701408999</v>
      </c>
      <c r="D21" s="132">
        <v>729.5</v>
      </c>
      <c r="E21" s="133">
        <v>262.66146237060713</v>
      </c>
      <c r="F21" s="135">
        <v>20.3</v>
      </c>
      <c r="G21" s="142">
        <v>43733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</row>
    <row r="22" spans="1:23" x14ac:dyDescent="0.25">
      <c r="A22" s="143" t="s">
        <v>175</v>
      </c>
      <c r="B22" s="144">
        <v>12.3</v>
      </c>
      <c r="C22" s="146">
        <v>96.389852756187835</v>
      </c>
      <c r="D22" s="147">
        <v>118</v>
      </c>
      <c r="E22" s="148">
        <v>278.39482802923527</v>
      </c>
      <c r="F22" s="150">
        <v>25.4</v>
      </c>
      <c r="G22" s="152">
        <v>46581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</row>
    <row r="24" spans="1:23" x14ac:dyDescent="0.25">
      <c r="I24" t="s">
        <v>340</v>
      </c>
      <c r="M24" s="105" t="e">
        <f ca="1">CountFullRows(A4:G22,TRUE)</f>
        <v>#NAME?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P12"/>
  <sheetViews>
    <sheetView workbookViewId="0"/>
  </sheetViews>
  <sheetFormatPr defaultRowHeight="15" x14ac:dyDescent="0.25"/>
  <sheetData>
    <row r="1" spans="1:16" x14ac:dyDescent="0.25">
      <c r="A1" s="1" t="s">
        <v>464</v>
      </c>
    </row>
    <row r="3" spans="1:16" x14ac:dyDescent="0.25">
      <c r="B3" s="274" t="s">
        <v>178</v>
      </c>
      <c r="C3" s="274" t="s">
        <v>146</v>
      </c>
      <c r="D3" s="274" t="s">
        <v>147</v>
      </c>
      <c r="E3" s="274" t="s">
        <v>148</v>
      </c>
      <c r="F3" s="274" t="s">
        <v>465</v>
      </c>
      <c r="G3" s="274" t="s">
        <v>12</v>
      </c>
      <c r="K3" s="274" t="s">
        <v>178</v>
      </c>
      <c r="L3" s="274" t="s">
        <v>146</v>
      </c>
      <c r="M3" s="274" t="s">
        <v>147</v>
      </c>
      <c r="N3" s="274" t="s">
        <v>148</v>
      </c>
      <c r="O3" s="274" t="s">
        <v>465</v>
      </c>
      <c r="P3" s="274" t="s">
        <v>12</v>
      </c>
    </row>
    <row r="4" spans="1:16" x14ac:dyDescent="0.25">
      <c r="A4" t="s">
        <v>99</v>
      </c>
      <c r="B4" s="196">
        <v>5</v>
      </c>
      <c r="C4" s="5">
        <v>8</v>
      </c>
      <c r="D4" s="5">
        <v>6</v>
      </c>
      <c r="E4" s="5">
        <v>2</v>
      </c>
      <c r="F4" s="197">
        <v>4</v>
      </c>
      <c r="G4">
        <f>SUM(B4:F4)</f>
        <v>25</v>
      </c>
      <c r="J4" t="s">
        <v>99</v>
      </c>
      <c r="K4" s="196">
        <v>21</v>
      </c>
      <c r="L4" s="5">
        <v>1</v>
      </c>
      <c r="M4" s="5">
        <v>1</v>
      </c>
      <c r="N4" s="5">
        <v>1</v>
      </c>
      <c r="O4" s="197">
        <v>1</v>
      </c>
      <c r="P4">
        <f>SUM(K4:O4)</f>
        <v>25</v>
      </c>
    </row>
    <row r="5" spans="1:16" x14ac:dyDescent="0.25">
      <c r="A5" t="s">
        <v>140</v>
      </c>
      <c r="B5" s="92">
        <f>B4/$G4</f>
        <v>0.2</v>
      </c>
      <c r="C5" s="8">
        <f>C4/$G4</f>
        <v>0.32</v>
      </c>
      <c r="D5" s="8">
        <f>D4/$G4</f>
        <v>0.24</v>
      </c>
      <c r="E5" s="8">
        <f>E4/$G4</f>
        <v>0.08</v>
      </c>
      <c r="F5" s="93">
        <f>F4/$G4</f>
        <v>0.16</v>
      </c>
      <c r="J5" t="s">
        <v>140</v>
      </c>
      <c r="K5" s="92">
        <f>K4/$G4</f>
        <v>0.84</v>
      </c>
      <c r="L5" s="8">
        <f>L4/$G4</f>
        <v>0.04</v>
      </c>
      <c r="M5" s="8">
        <f>M4/$G4</f>
        <v>0.04</v>
      </c>
      <c r="N5" s="8">
        <f>N4/$G4</f>
        <v>0.04</v>
      </c>
      <c r="O5" s="93">
        <f>O4/$G4</f>
        <v>0.04</v>
      </c>
    </row>
    <row r="6" spans="1:16" x14ac:dyDescent="0.25">
      <c r="A6" t="s">
        <v>466</v>
      </c>
      <c r="B6" s="80">
        <f>LOG10(B5)</f>
        <v>-0.69897000433601875</v>
      </c>
      <c r="C6" s="162">
        <f>LOG10(C5)</f>
        <v>-0.49485002168009401</v>
      </c>
      <c r="D6" s="162">
        <f>LOG10(D5)</f>
        <v>-0.61978875828839397</v>
      </c>
      <c r="E6" s="162">
        <f>LOG10(E5)</f>
        <v>-1.0969100130080565</v>
      </c>
      <c r="F6" s="83">
        <f>LOG10(F5)</f>
        <v>-0.79588001734407521</v>
      </c>
      <c r="J6" t="s">
        <v>466</v>
      </c>
      <c r="K6" s="80">
        <f>LOG10(K5)</f>
        <v>-7.5720713938118356E-2</v>
      </c>
      <c r="L6" s="162">
        <f>LOG10(L5)</f>
        <v>-1.3979400086720375</v>
      </c>
      <c r="M6" s="162">
        <f>LOG10(M5)</f>
        <v>-1.3979400086720375</v>
      </c>
      <c r="N6" s="162">
        <f>LOG10(N5)</f>
        <v>-1.3979400086720375</v>
      </c>
      <c r="O6" s="83">
        <f>LOG10(O5)</f>
        <v>-1.3979400086720375</v>
      </c>
    </row>
    <row r="8" spans="1:16" x14ac:dyDescent="0.25">
      <c r="A8" t="s">
        <v>467</v>
      </c>
      <c r="B8" s="271">
        <f>-SUMPRODUCT(B5:F5,B6:F6)</f>
        <v>0.66198891360974488</v>
      </c>
      <c r="J8" t="s">
        <v>467</v>
      </c>
      <c r="K8" s="271">
        <f>-SUMPRODUCT(K5:O5,K6:O6)</f>
        <v>0.2872758010955454</v>
      </c>
    </row>
    <row r="9" spans="1:16" x14ac:dyDescent="0.25">
      <c r="A9" t="s">
        <v>468</v>
      </c>
      <c r="B9" s="91">
        <f>LOG10(COUNTA(B3:F3))</f>
        <v>0.69897000433601886</v>
      </c>
      <c r="J9" t="s">
        <v>468</v>
      </c>
      <c r="K9" s="91">
        <f>LOG10(COUNTA(K3:O3))</f>
        <v>0.69897000433601886</v>
      </c>
    </row>
    <row r="10" spans="1:16" x14ac:dyDescent="0.25">
      <c r="A10" t="s">
        <v>469</v>
      </c>
      <c r="B10" s="85">
        <f>B8/B9</f>
        <v>0.94709202040593443</v>
      </c>
      <c r="J10" t="s">
        <v>469</v>
      </c>
      <c r="K10" s="85">
        <f>K8/K9</f>
        <v>0.41099875432915156</v>
      </c>
    </row>
    <row r="12" spans="1:16" x14ac:dyDescent="0.25">
      <c r="A12" t="s">
        <v>467</v>
      </c>
      <c r="B12" s="105">
        <f>LOG10(SUM(B4:F4))-SUMPRODUCT(B4:F4,LOG10(B4:F4))/SUM(B4:F4)</f>
        <v>0.6619889136097451</v>
      </c>
      <c r="C12" t="e">
        <f ca="1">FTEXT(B12)</f>
        <v>#NAME?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O23"/>
  <sheetViews>
    <sheetView workbookViewId="0"/>
  </sheetViews>
  <sheetFormatPr defaultRowHeight="15" x14ac:dyDescent="0.25"/>
  <cols>
    <col min="9" max="9" width="12" bestFit="1" customWidth="1"/>
    <col min="11" max="11" width="12" bestFit="1" customWidth="1"/>
  </cols>
  <sheetData>
    <row r="1" spans="1:15" x14ac:dyDescent="0.25">
      <c r="A1" s="1" t="s">
        <v>470</v>
      </c>
    </row>
    <row r="3" spans="1:15" x14ac:dyDescent="0.25">
      <c r="B3" s="274" t="s">
        <v>178</v>
      </c>
      <c r="C3" s="274" t="s">
        <v>146</v>
      </c>
      <c r="D3" s="274" t="s">
        <v>147</v>
      </c>
      <c r="E3" s="274" t="s">
        <v>148</v>
      </c>
      <c r="F3" s="274" t="s">
        <v>465</v>
      </c>
      <c r="G3" s="274" t="s">
        <v>12</v>
      </c>
      <c r="J3" s="274" t="s">
        <v>178</v>
      </c>
      <c r="K3" s="274" t="s">
        <v>146</v>
      </c>
      <c r="L3" s="274" t="s">
        <v>147</v>
      </c>
      <c r="M3" s="274" t="s">
        <v>148</v>
      </c>
      <c r="N3" s="274" t="s">
        <v>465</v>
      </c>
      <c r="O3" s="274" t="s">
        <v>12</v>
      </c>
    </row>
    <row r="4" spans="1:15" x14ac:dyDescent="0.25">
      <c r="A4" t="s">
        <v>99</v>
      </c>
      <c r="B4" s="196">
        <v>12</v>
      </c>
      <c r="C4" s="5">
        <v>14</v>
      </c>
      <c r="D4" s="5">
        <v>1</v>
      </c>
      <c r="E4" s="5">
        <v>2</v>
      </c>
      <c r="F4" s="197">
        <v>3</v>
      </c>
      <c r="G4">
        <f>SUM(B4:F4)</f>
        <v>32</v>
      </c>
      <c r="I4" t="s">
        <v>99</v>
      </c>
      <c r="J4" s="196">
        <v>6</v>
      </c>
      <c r="K4" s="5">
        <v>6</v>
      </c>
      <c r="L4" s="5">
        <v>6</v>
      </c>
      <c r="M4" s="5">
        <v>7</v>
      </c>
      <c r="N4" s="197">
        <v>7</v>
      </c>
      <c r="O4">
        <f>SUM(J4:N4)</f>
        <v>32</v>
      </c>
    </row>
    <row r="5" spans="1:15" x14ac:dyDescent="0.25">
      <c r="A5" t="s">
        <v>471</v>
      </c>
      <c r="B5" s="80">
        <f t="shared" ref="B5:G5" si="0">LOG10(FACT(B4))</f>
        <v>8.6803369640826435</v>
      </c>
      <c r="C5" s="162">
        <f t="shared" si="0"/>
        <v>10.940408352067719</v>
      </c>
      <c r="D5" s="162">
        <f t="shared" si="0"/>
        <v>0</v>
      </c>
      <c r="E5" s="162">
        <f t="shared" si="0"/>
        <v>0.3010299956639812</v>
      </c>
      <c r="F5" s="83">
        <f t="shared" si="0"/>
        <v>0.77815125038364363</v>
      </c>
      <c r="G5" s="8">
        <f t="shared" si="0"/>
        <v>35.420171747079898</v>
      </c>
      <c r="I5" t="s">
        <v>472</v>
      </c>
      <c r="J5" s="80">
        <f t="shared" ref="J5:O5" si="1">LOG10(FACT(J4))</f>
        <v>2.8573324964312685</v>
      </c>
      <c r="K5" s="162">
        <f t="shared" si="1"/>
        <v>2.8573324964312685</v>
      </c>
      <c r="L5" s="162">
        <f t="shared" si="1"/>
        <v>2.8573324964312685</v>
      </c>
      <c r="M5" s="162">
        <f t="shared" si="1"/>
        <v>3.7024305364455254</v>
      </c>
      <c r="N5" s="83">
        <f t="shared" si="1"/>
        <v>3.7024305364455254</v>
      </c>
      <c r="O5" s="8">
        <f t="shared" si="1"/>
        <v>35.420171747079898</v>
      </c>
    </row>
    <row r="7" spans="1:15" x14ac:dyDescent="0.25">
      <c r="A7" t="s">
        <v>473</v>
      </c>
      <c r="B7" s="271">
        <f>(G5-SUM(B5:F5))/G4</f>
        <v>0.46000766202755972</v>
      </c>
      <c r="I7" t="s">
        <v>473</v>
      </c>
      <c r="J7" s="271">
        <f>(O5-SUM(J5:N5))/O4</f>
        <v>0.60760353702796999</v>
      </c>
    </row>
    <row r="8" spans="1:15" x14ac:dyDescent="0.25">
      <c r="A8" t="s">
        <v>135</v>
      </c>
      <c r="B8" s="91">
        <f>COUNTA(B3:F3)</f>
        <v>5</v>
      </c>
      <c r="I8" t="s">
        <v>135</v>
      </c>
      <c r="J8" s="91">
        <f>COUNTA(J3:N3)</f>
        <v>5</v>
      </c>
    </row>
    <row r="9" spans="1:15" x14ac:dyDescent="0.25">
      <c r="A9" t="s">
        <v>125</v>
      </c>
      <c r="B9" s="91">
        <f>INT(G4/B8)</f>
        <v>6</v>
      </c>
      <c r="I9" t="s">
        <v>125</v>
      </c>
      <c r="J9" s="91">
        <f>INT(O4/J8)</f>
        <v>6</v>
      </c>
    </row>
    <row r="10" spans="1:15" x14ac:dyDescent="0.25">
      <c r="A10" t="s">
        <v>126</v>
      </c>
      <c r="B10" s="91">
        <f>MOD(G4,B8)</f>
        <v>2</v>
      </c>
      <c r="I10" t="s">
        <v>126</v>
      </c>
      <c r="J10" s="91">
        <f>MOD(O4,J8)</f>
        <v>2</v>
      </c>
    </row>
    <row r="11" spans="1:15" x14ac:dyDescent="0.25">
      <c r="A11" t="s">
        <v>474</v>
      </c>
      <c r="B11" s="91">
        <f>(LOG10(FACT(G4))-(B8-B10)*LOG10(FACT(B9))-B10*LOG10(FACT(B9+1)))/G4</f>
        <v>0.60760353702796999</v>
      </c>
      <c r="I11" t="s">
        <v>474</v>
      </c>
      <c r="J11" s="91">
        <f>(LOG10(FACT(O4))-(J8-J10)*LOG10(FACT(J9))-J10*LOG10(FACT(J9+1)))/O4</f>
        <v>0.60760353702796999</v>
      </c>
    </row>
    <row r="12" spans="1:15" x14ac:dyDescent="0.25">
      <c r="A12" t="s">
        <v>210</v>
      </c>
      <c r="B12" s="85">
        <f>B7/B11</f>
        <v>0.75708522744558027</v>
      </c>
      <c r="I12" t="s">
        <v>210</v>
      </c>
      <c r="J12" s="85">
        <f>J7/J11</f>
        <v>1</v>
      </c>
    </row>
    <row r="15" spans="1:15" x14ac:dyDescent="0.25">
      <c r="A15" t="s">
        <v>475</v>
      </c>
    </row>
    <row r="17" spans="1:7" x14ac:dyDescent="0.25">
      <c r="A17" t="s">
        <v>476</v>
      </c>
      <c r="B17" s="275">
        <f>SUM(B4:F4)</f>
        <v>32</v>
      </c>
    </row>
    <row r="18" spans="1:7" x14ac:dyDescent="0.25">
      <c r="A18" t="s">
        <v>477</v>
      </c>
      <c r="B18" s="158">
        <f>COUNT(B4:F4)</f>
        <v>5</v>
      </c>
    </row>
    <row r="19" spans="1:7" ht="15.75" thickBot="1" x14ac:dyDescent="0.3"/>
    <row r="20" spans="1:7" ht="15.75" thickTop="1" x14ac:dyDescent="0.25">
      <c r="A20" s="177"/>
      <c r="B20" s="177" t="s">
        <v>478</v>
      </c>
      <c r="C20" s="177" t="s">
        <v>479</v>
      </c>
      <c r="E20" s="177"/>
      <c r="F20" s="177" t="s">
        <v>480</v>
      </c>
      <c r="G20" s="177" t="s">
        <v>481</v>
      </c>
    </row>
    <row r="21" spans="1:7" x14ac:dyDescent="0.25">
      <c r="A21" t="s">
        <v>482</v>
      </c>
      <c r="B21">
        <f>LN(B17)-SUMPRODUCT(B4:F4,LN(B4:F4))/B17</f>
        <v>1.2329917265749191</v>
      </c>
      <c r="C21">
        <f t="array" ref="C21">((GAMMALN(B17+1)-SUM(GAMMALN(B4:F4+1)))/B17)/LN(10)</f>
        <v>0.46000766202755955</v>
      </c>
      <c r="E21" t="s">
        <v>483</v>
      </c>
      <c r="F21">
        <f>SUMSQ(B4:F4)/B17^2</f>
        <v>0.345703125</v>
      </c>
      <c r="G21">
        <f>SUMPRODUCT(B4:F4,B4:F4-1)/(B17*(B17-1))</f>
        <v>0.32459677419354838</v>
      </c>
    </row>
    <row r="22" spans="1:7" x14ac:dyDescent="0.25">
      <c r="A22" t="s">
        <v>484</v>
      </c>
      <c r="B22">
        <f>LN(B18)</f>
        <v>1.6094379124341003</v>
      </c>
      <c r="C22">
        <f>((GAMMALN(B17+1)-(B18-MOD(B17,B18))*GAMMALN(1+INT(B17/B18))-MOD(B17,B18)*GAMMALN(INT(B17/B18)+2))/B17)/LN(10)</f>
        <v>0.60760353702796988</v>
      </c>
      <c r="E22" t="s">
        <v>485</v>
      </c>
      <c r="F22">
        <f>1-F21</f>
        <v>0.654296875</v>
      </c>
      <c r="G22">
        <f>1-G21</f>
        <v>0.67540322580645162</v>
      </c>
    </row>
    <row r="23" spans="1:7" x14ac:dyDescent="0.25">
      <c r="A23" s="162" t="s">
        <v>486</v>
      </c>
      <c r="B23" s="162">
        <f>B21/B22</f>
        <v>0.7661008337439702</v>
      </c>
      <c r="C23" s="162">
        <f>C21/C22</f>
        <v>0.75708522744558016</v>
      </c>
      <c r="E23" s="162" t="s">
        <v>487</v>
      </c>
      <c r="F23" s="162">
        <f>1/F21</f>
        <v>2.8926553672316384</v>
      </c>
      <c r="G23" s="162">
        <f>1/G21</f>
        <v>3.0807453416149069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O11"/>
  <sheetViews>
    <sheetView workbookViewId="0"/>
  </sheetViews>
  <sheetFormatPr defaultRowHeight="15" x14ac:dyDescent="0.25"/>
  <cols>
    <col min="9" max="9" width="14.5703125" customWidth="1"/>
    <col min="14" max="15" width="9.85546875" customWidth="1"/>
  </cols>
  <sheetData>
    <row r="1" spans="1:15" x14ac:dyDescent="0.25">
      <c r="A1" s="1" t="s">
        <v>488</v>
      </c>
      <c r="I1" t="s">
        <v>258</v>
      </c>
    </row>
    <row r="3" spans="1:15" x14ac:dyDescent="0.25">
      <c r="B3" s="274" t="s">
        <v>178</v>
      </c>
      <c r="C3" s="274" t="s">
        <v>146</v>
      </c>
      <c r="D3" s="274" t="s">
        <v>147</v>
      </c>
      <c r="E3" s="274" t="s">
        <v>148</v>
      </c>
      <c r="F3" s="274" t="s">
        <v>465</v>
      </c>
      <c r="G3" s="274" t="s">
        <v>12</v>
      </c>
      <c r="I3" t="s">
        <v>475</v>
      </c>
    </row>
    <row r="4" spans="1:15" x14ac:dyDescent="0.25">
      <c r="A4" t="s">
        <v>99</v>
      </c>
      <c r="B4" s="196">
        <v>5</v>
      </c>
      <c r="C4" s="5">
        <v>8</v>
      </c>
      <c r="D4" s="5">
        <v>6</v>
      </c>
      <c r="E4" s="5">
        <v>2</v>
      </c>
      <c r="F4" s="197">
        <v>4</v>
      </c>
      <c r="G4">
        <f>SUM(B4:F4)</f>
        <v>25</v>
      </c>
    </row>
    <row r="5" spans="1:15" x14ac:dyDescent="0.25">
      <c r="A5" t="s">
        <v>140</v>
      </c>
      <c r="B5" s="80">
        <f>B4/$G4</f>
        <v>0.2</v>
      </c>
      <c r="C5" s="162">
        <f>C4/$G4</f>
        <v>0.32</v>
      </c>
      <c r="D5" s="162">
        <f>D4/$G4</f>
        <v>0.24</v>
      </c>
      <c r="E5" s="162">
        <f>E4/$G4</f>
        <v>0.08</v>
      </c>
      <c r="F5" s="83">
        <f>F4/$G4</f>
        <v>0.16</v>
      </c>
      <c r="I5" t="s">
        <v>476</v>
      </c>
      <c r="J5" s="275">
        <f>SUM(B4:F4)</f>
        <v>25</v>
      </c>
    </row>
    <row r="6" spans="1:15" x14ac:dyDescent="0.25">
      <c r="I6" t="s">
        <v>477</v>
      </c>
      <c r="J6" s="158">
        <f>COUNT(B4:F4)</f>
        <v>5</v>
      </c>
    </row>
    <row r="7" spans="1:15" ht="15.75" thickBot="1" x14ac:dyDescent="0.3">
      <c r="A7" t="s">
        <v>148</v>
      </c>
      <c r="B7" s="271">
        <f>SUMSQ(B5:F5)</f>
        <v>0.23200000000000001</v>
      </c>
      <c r="D7" t="s">
        <v>489</v>
      </c>
      <c r="E7" s="271">
        <f>SUMPRODUCT(B4:F4,B4:F4-1)/(G4*(G4-1))</f>
        <v>0.2</v>
      </c>
    </row>
    <row r="8" spans="1:15" ht="15.75" thickTop="1" x14ac:dyDescent="0.25">
      <c r="A8" t="s">
        <v>485</v>
      </c>
      <c r="B8" s="91">
        <f>1-B7</f>
        <v>0.76800000000000002</v>
      </c>
      <c r="D8" t="s">
        <v>490</v>
      </c>
      <c r="E8" s="91">
        <f>1-E7</f>
        <v>0.8</v>
      </c>
      <c r="I8" s="177"/>
      <c r="J8" s="177" t="s">
        <v>478</v>
      </c>
      <c r="K8" s="177" t="s">
        <v>479</v>
      </c>
      <c r="M8" s="177"/>
      <c r="N8" s="177" t="s">
        <v>480</v>
      </c>
      <c r="O8" s="177" t="s">
        <v>481</v>
      </c>
    </row>
    <row r="9" spans="1:15" x14ac:dyDescent="0.25">
      <c r="A9" t="s">
        <v>487</v>
      </c>
      <c r="B9" s="85">
        <f>1/B7</f>
        <v>4.3103448275862064</v>
      </c>
      <c r="D9" t="s">
        <v>491</v>
      </c>
      <c r="E9" s="85">
        <f>1/E7</f>
        <v>5</v>
      </c>
      <c r="I9" t="s">
        <v>482</v>
      </c>
      <c r="J9">
        <f>LN(J5)-SUMPRODUCT(B4:F4,LN(B4:F4))/J5</f>
        <v>1.5242858042051217</v>
      </c>
      <c r="K9">
        <f t="array" ref="K9">(GAMMALN(J5+1)-SUM(GAMMALN(B4:F4+1)))/J5</f>
        <v>1.2864423341814091</v>
      </c>
      <c r="M9" t="s">
        <v>483</v>
      </c>
      <c r="N9">
        <f>SUMSQ(B4:F4)/J5^2</f>
        <v>0.23200000000000001</v>
      </c>
      <c r="O9">
        <f>SUMPRODUCT(B4:F4,B4:F4-1)/(J5*(J5-1))</f>
        <v>0.2</v>
      </c>
    </row>
    <row r="10" spans="1:15" x14ac:dyDescent="0.25">
      <c r="I10" t="s">
        <v>484</v>
      </c>
      <c r="J10">
        <f>LN(J6)</f>
        <v>1.6094379124341003</v>
      </c>
      <c r="K10">
        <f>(GAMMALN(J5+1)-(J6-MOD(J5,J6))*GAMMALN(1+INT(J5/J6))-MOD(J5,J6)*GAMMALN(INT(J5/J6)+2))/J5</f>
        <v>1.3626458603628118</v>
      </c>
      <c r="M10" t="s">
        <v>485</v>
      </c>
      <c r="N10">
        <f>1-N9</f>
        <v>0.76800000000000002</v>
      </c>
      <c r="O10">
        <f>1-O9</f>
        <v>0.8</v>
      </c>
    </row>
    <row r="11" spans="1:15" x14ac:dyDescent="0.25">
      <c r="I11" s="162" t="s">
        <v>486</v>
      </c>
      <c r="J11" s="162">
        <f>J9/J10</f>
        <v>0.94709202040593465</v>
      </c>
      <c r="K11" s="162">
        <f>K9/K10</f>
        <v>0.94407679324610938</v>
      </c>
      <c r="M11" s="162" t="s">
        <v>487</v>
      </c>
      <c r="N11" s="162">
        <f>1/N9</f>
        <v>4.3103448275862064</v>
      </c>
      <c r="O11" s="162">
        <f>1/O9</f>
        <v>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15"/>
  <sheetViews>
    <sheetView workbookViewId="0"/>
  </sheetViews>
  <sheetFormatPr defaultRowHeight="15" x14ac:dyDescent="0.25"/>
  <cols>
    <col min="2" max="2" width="10.140625" customWidth="1"/>
  </cols>
  <sheetData>
    <row r="1" spans="1:8" x14ac:dyDescent="0.25">
      <c r="A1" s="1" t="s">
        <v>112</v>
      </c>
    </row>
    <row r="3" spans="1:8" x14ac:dyDescent="0.25">
      <c r="A3" t="s">
        <v>113</v>
      </c>
    </row>
    <row r="5" spans="1:8" x14ac:dyDescent="0.25">
      <c r="C5" s="383" t="s">
        <v>114</v>
      </c>
      <c r="D5" s="383"/>
    </row>
    <row r="6" spans="1:8" x14ac:dyDescent="0.25">
      <c r="A6" s="19" t="s">
        <v>112</v>
      </c>
      <c r="B6" s="19" t="s">
        <v>115</v>
      </c>
      <c r="C6" s="43">
        <v>0.05</v>
      </c>
      <c r="D6" s="43">
        <v>0.01</v>
      </c>
    </row>
    <row r="7" spans="1:8" x14ac:dyDescent="0.25">
      <c r="A7" s="21">
        <v>0.8</v>
      </c>
      <c r="B7">
        <v>0.2</v>
      </c>
      <c r="C7" s="44">
        <v>199</v>
      </c>
      <c r="D7" s="44">
        <v>296</v>
      </c>
    </row>
    <row r="8" spans="1:8" x14ac:dyDescent="0.25">
      <c r="A8" s="21">
        <v>0.8</v>
      </c>
      <c r="B8">
        <v>0.5</v>
      </c>
      <c r="C8" s="39">
        <v>34</v>
      </c>
      <c r="D8" s="39">
        <v>51</v>
      </c>
    </row>
    <row r="9" spans="1:8" x14ac:dyDescent="0.25">
      <c r="A9" s="21">
        <v>0.8</v>
      </c>
      <c r="B9">
        <v>0.8</v>
      </c>
      <c r="C9" s="39">
        <v>15</v>
      </c>
      <c r="D9" s="39">
        <v>22</v>
      </c>
    </row>
    <row r="10" spans="1:8" x14ac:dyDescent="0.25">
      <c r="A10" s="21">
        <v>0.9</v>
      </c>
      <c r="B10">
        <v>0.2</v>
      </c>
      <c r="C10" s="39">
        <v>265</v>
      </c>
      <c r="D10" s="39">
        <v>376</v>
      </c>
    </row>
    <row r="11" spans="1:8" x14ac:dyDescent="0.25">
      <c r="A11" s="21">
        <v>0.9</v>
      </c>
      <c r="B11">
        <v>0.5</v>
      </c>
      <c r="C11" s="39">
        <v>44</v>
      </c>
      <c r="D11" s="39">
        <v>63</v>
      </c>
    </row>
    <row r="12" spans="1:8" x14ac:dyDescent="0.25">
      <c r="A12" s="21">
        <v>0.9</v>
      </c>
      <c r="B12">
        <v>0.8</v>
      </c>
      <c r="C12" s="39">
        <v>19</v>
      </c>
      <c r="D12" s="39">
        <v>27</v>
      </c>
    </row>
    <row r="13" spans="1:8" x14ac:dyDescent="0.25">
      <c r="A13" s="21">
        <v>0.95</v>
      </c>
      <c r="B13">
        <v>0.2</v>
      </c>
      <c r="C13" s="39">
        <v>327</v>
      </c>
      <c r="D13" s="39">
        <v>449</v>
      </c>
    </row>
    <row r="14" spans="1:8" x14ac:dyDescent="0.25">
      <c r="A14" s="21">
        <v>0.95</v>
      </c>
      <c r="B14">
        <v>0.5</v>
      </c>
      <c r="C14" s="39">
        <v>54</v>
      </c>
      <c r="D14" s="39">
        <v>75</v>
      </c>
      <c r="H14" s="1"/>
    </row>
    <row r="15" spans="1:8" x14ac:dyDescent="0.25">
      <c r="A15" s="21">
        <v>0.95</v>
      </c>
      <c r="B15">
        <v>0.8</v>
      </c>
      <c r="C15" s="40">
        <v>23</v>
      </c>
      <c r="D15" s="40">
        <v>32</v>
      </c>
    </row>
  </sheetData>
  <mergeCells count="1">
    <mergeCell ref="C5:D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2"/>
  <sheetViews>
    <sheetView workbookViewId="0"/>
  </sheetViews>
  <sheetFormatPr defaultRowHeight="15" x14ac:dyDescent="0.25"/>
  <cols>
    <col min="1" max="1" width="6.28515625" customWidth="1"/>
    <col min="8" max="8" width="6.28515625" customWidth="1"/>
    <col min="15" max="15" width="6.28515625" customWidth="1"/>
    <col min="21" max="21" width="6.28515625" customWidth="1"/>
  </cols>
  <sheetData>
    <row r="1" spans="1:31" x14ac:dyDescent="0.25">
      <c r="A1" s="1" t="s">
        <v>804</v>
      </c>
      <c r="H1" s="1" t="s">
        <v>805</v>
      </c>
      <c r="O1" s="1" t="s">
        <v>806</v>
      </c>
      <c r="U1" s="1" t="s">
        <v>807</v>
      </c>
      <c r="AA1" t="s">
        <v>808</v>
      </c>
    </row>
    <row r="3" spans="1:31" x14ac:dyDescent="0.25">
      <c r="A3" t="s">
        <v>141</v>
      </c>
      <c r="B3" s="343">
        <v>0.05</v>
      </c>
      <c r="H3" t="s">
        <v>141</v>
      </c>
      <c r="I3" s="343">
        <v>0.05</v>
      </c>
      <c r="O3" t="s">
        <v>809</v>
      </c>
      <c r="P3" s="343">
        <v>0.05</v>
      </c>
      <c r="U3" s="300" t="s">
        <v>810</v>
      </c>
      <c r="V3" s="343" t="e">
        <f ca="1">0.05/SUMPRODUCT(1/W7:W12)</f>
        <v>#NAME?</v>
      </c>
      <c r="AA3" t="s">
        <v>809</v>
      </c>
      <c r="AB3" s="275">
        <v>0.05</v>
      </c>
    </row>
    <row r="4" spans="1:31" x14ac:dyDescent="0.25">
      <c r="A4" t="s">
        <v>135</v>
      </c>
      <c r="B4" s="85">
        <f>COUNTA(A7:A12)</f>
        <v>6</v>
      </c>
      <c r="H4" t="s">
        <v>135</v>
      </c>
      <c r="I4" s="85">
        <f ca="1">COUNTA(H7:H12)</f>
        <v>6</v>
      </c>
      <c r="O4" t="s">
        <v>135</v>
      </c>
      <c r="P4" s="85">
        <f ca="1">COUNTA(O7:O12)</f>
        <v>6</v>
      </c>
      <c r="U4" t="s">
        <v>135</v>
      </c>
      <c r="V4" s="85">
        <f ca="1">COUNTA(U7:U12)</f>
        <v>6</v>
      </c>
      <c r="AA4" t="s">
        <v>811</v>
      </c>
      <c r="AB4" s="378">
        <f ca="1">COUNT(AB7:AB12)</f>
        <v>0</v>
      </c>
    </row>
    <row r="5" spans="1:31" ht="15.75" thickBot="1" x14ac:dyDescent="0.3"/>
    <row r="6" spans="1:31" ht="15.75" thickTop="1" x14ac:dyDescent="0.25">
      <c r="B6" s="273" t="s">
        <v>812</v>
      </c>
      <c r="C6" s="273" t="s">
        <v>813</v>
      </c>
      <c r="D6" s="273" t="s">
        <v>814</v>
      </c>
      <c r="E6" s="273" t="s">
        <v>815</v>
      </c>
      <c r="F6" s="273" t="s">
        <v>816</v>
      </c>
      <c r="I6" s="273" t="s">
        <v>812</v>
      </c>
      <c r="J6" s="273" t="s">
        <v>817</v>
      </c>
      <c r="K6" s="273" t="s">
        <v>818</v>
      </c>
      <c r="L6" s="273" t="s">
        <v>819</v>
      </c>
      <c r="M6" s="273" t="s">
        <v>820</v>
      </c>
      <c r="P6" s="273" t="s">
        <v>812</v>
      </c>
      <c r="Q6" s="273" t="s">
        <v>817</v>
      </c>
      <c r="R6" s="273" t="s">
        <v>818</v>
      </c>
      <c r="S6" s="273" t="s">
        <v>821</v>
      </c>
      <c r="V6" s="273" t="s">
        <v>812</v>
      </c>
      <c r="W6" s="273" t="s">
        <v>817</v>
      </c>
      <c r="X6" s="273" t="s">
        <v>818</v>
      </c>
      <c r="Y6" s="273" t="s">
        <v>822</v>
      </c>
      <c r="AA6" s="177" t="s">
        <v>823</v>
      </c>
      <c r="AB6" s="177" t="s">
        <v>812</v>
      </c>
      <c r="AC6" s="177" t="s">
        <v>817</v>
      </c>
      <c r="AD6" s="177" t="s">
        <v>141</v>
      </c>
      <c r="AE6" s="177" t="s">
        <v>816</v>
      </c>
    </row>
    <row r="7" spans="1:31" x14ac:dyDescent="0.25">
      <c r="A7" t="s">
        <v>178</v>
      </c>
      <c r="B7">
        <v>1.208E-2</v>
      </c>
      <c r="C7">
        <f>B3/B4</f>
        <v>8.3333333333333332E-3</v>
      </c>
      <c r="D7" s="377" t="str">
        <f>IF(B7&lt;C7,"yes","no")</f>
        <v>no</v>
      </c>
      <c r="E7">
        <f>1-(1-B3)^(1/B4)</f>
        <v>8.512444610847103E-3</v>
      </c>
      <c r="F7" s="377" t="str">
        <f>IF(B7&lt;E7,"yes","no")</f>
        <v>no</v>
      </c>
      <c r="H7" t="e">
        <f t="array" aca="1" ref="H7:I12" ca="1">QSORTRows(A7:B12,2)</f>
        <v>#NAME?</v>
      </c>
      <c r="I7" t="e">
        <f ca="1"/>
        <v>#NAME?</v>
      </c>
      <c r="J7" s="377" t="e">
        <f ca="1">RANK_AVG(I7,I$7:I$12)</f>
        <v>#NAME?</v>
      </c>
      <c r="K7" t="e">
        <f ca="1">I$3/J7</f>
        <v>#NAME?</v>
      </c>
      <c r="L7" s="377" t="e">
        <f ca="1">IF(L6="no","no",IF(I7&lt;K7,"yes","no"))</f>
        <v>#NAME?</v>
      </c>
      <c r="M7" s="377" t="e">
        <f ca="1">IF(M8="yes","yes",IF(I7&lt;K7,"yes","no"))</f>
        <v>#NAME?</v>
      </c>
      <c r="O7" t="e">
        <f t="array" aca="1" ref="O7:P12" ca="1">QSORTRows(H7:I12,2)</f>
        <v>#NAME?</v>
      </c>
      <c r="P7" t="e">
        <f ca="1"/>
        <v>#NAME?</v>
      </c>
      <c r="Q7" s="377" t="e">
        <f ca="1">RANK_AVG(P7,P$7:P$12)</f>
        <v>#NAME?</v>
      </c>
      <c r="R7" t="e">
        <f ca="1">P$3*Q7/P$4</f>
        <v>#NAME?</v>
      </c>
      <c r="S7" s="377" t="e">
        <f ca="1">IF(S8="yes","yes",IF(P7&lt;R7,"yes","no"))</f>
        <v>#NAME?</v>
      </c>
      <c r="U7" t="e">
        <f t="array" aca="1" ref="U7:V12" ca="1">QSORTRows(H7:I12,2)</f>
        <v>#NAME?</v>
      </c>
      <c r="V7" t="e">
        <f ca="1"/>
        <v>#NAME?</v>
      </c>
      <c r="W7" s="377" t="e">
        <f ca="1">RANK_AVG(V7,V$7:V$12)</f>
        <v>#NAME?</v>
      </c>
      <c r="X7" t="e">
        <f ca="1">V$3*W7/V$4</f>
        <v>#NAME?</v>
      </c>
      <c r="Y7" s="377" t="e">
        <f ca="1">IF(Y8="yes","yes",IF(V7&lt;X7,"yes","no"))</f>
        <v>#NAME?</v>
      </c>
      <c r="AA7" t="e">
        <f t="array" aca="1" ref="AA7:AB12" ca="1">QSORTRows(A7:B12,2)</f>
        <v>#NAME?</v>
      </c>
      <c r="AB7" t="e">
        <f ca="1"/>
        <v>#NAME?</v>
      </c>
      <c r="AC7">
        <f ca="1">AB4</f>
        <v>0</v>
      </c>
      <c r="AD7" t="e">
        <f ca="1">AB$3*AC7/AB$4</f>
        <v>#DIV/0!</v>
      </c>
      <c r="AE7" s="377" t="e">
        <f ca="1">IF(AE8="yes","yes",IF(AB7&lt;AD7,"yes","no"))</f>
        <v>#NAME?</v>
      </c>
    </row>
    <row r="8" spans="1:31" x14ac:dyDescent="0.25">
      <c r="A8" t="s">
        <v>146</v>
      </c>
      <c r="B8">
        <v>3.5599999999999998E-3</v>
      </c>
      <c r="C8">
        <f>C7</f>
        <v>8.3333333333333332E-3</v>
      </c>
      <c r="D8" s="377" t="str">
        <f t="shared" ref="D8:D12" si="0">IF(B8&lt;C8,"yes","no")</f>
        <v>yes</v>
      </c>
      <c r="E8">
        <f>E7</f>
        <v>8.512444610847103E-3</v>
      </c>
      <c r="F8" s="377" t="str">
        <f t="shared" ref="F8:F12" si="1">IF(B8&lt;E8,"yes","no")</f>
        <v>yes</v>
      </c>
      <c r="H8" t="e">
        <f ca="1"/>
        <v>#NAME?</v>
      </c>
      <c r="I8" t="e">
        <f ca="1"/>
        <v>#NAME?</v>
      </c>
      <c r="J8" s="377" t="e">
        <f ca="1">RANK_AVG(I8,I$7:I$12)</f>
        <v>#NAME?</v>
      </c>
      <c r="K8" t="e">
        <f t="shared" ref="K8:K12" ca="1" si="2">I$3/J8</f>
        <v>#NAME?</v>
      </c>
      <c r="L8" s="377" t="e">
        <f t="shared" ref="L8:L12" ca="1" si="3">IF(L7="no","no",IF(I8&lt;K8,"yes","no"))</f>
        <v>#NAME?</v>
      </c>
      <c r="M8" s="377" t="e">
        <f t="shared" ref="M8:M12" ca="1" si="4">IF(M9="yes","yes",IF(I8&lt;K8,"yes","no"))</f>
        <v>#NAME?</v>
      </c>
      <c r="O8" t="e">
        <f ca="1"/>
        <v>#NAME?</v>
      </c>
      <c r="P8" t="e">
        <f ca="1"/>
        <v>#NAME?</v>
      </c>
      <c r="Q8" s="377" t="e">
        <f ca="1">RANK_AVG(P8,P$7:P$12)</f>
        <v>#NAME?</v>
      </c>
      <c r="R8" t="e">
        <f t="shared" ref="R8:R12" ca="1" si="5">P$3*Q8/P$4</f>
        <v>#NAME?</v>
      </c>
      <c r="S8" s="377" t="e">
        <f t="shared" ref="S8:S12" ca="1" si="6">IF(S9="yes","yes",IF(P8&lt;R8,"yes","no"))</f>
        <v>#NAME?</v>
      </c>
      <c r="U8" t="e">
        <f ca="1"/>
        <v>#NAME?</v>
      </c>
      <c r="V8" t="e">
        <f ca="1"/>
        <v>#NAME?</v>
      </c>
      <c r="W8" s="377" t="e">
        <f ca="1">RANK_AVG(V8,V$7:V$12)</f>
        <v>#NAME?</v>
      </c>
      <c r="X8" t="e">
        <f t="shared" ref="X8:X12" ca="1" si="7">V$3*W8/V$4</f>
        <v>#NAME?</v>
      </c>
      <c r="Y8" s="377" t="e">
        <f t="shared" ref="Y8:Y12" ca="1" si="8">IF(Y9="yes","yes",IF(V8&lt;X8,"yes","no"))</f>
        <v>#NAME?</v>
      </c>
      <c r="AA8" t="e">
        <f ca="1"/>
        <v>#NAME?</v>
      </c>
      <c r="AB8" t="e">
        <f ca="1"/>
        <v>#NAME?</v>
      </c>
      <c r="AC8">
        <f ca="1">AC7-1</f>
        <v>-1</v>
      </c>
      <c r="AD8" t="e">
        <f t="shared" ref="AD8:AD12" ca="1" si="9">AB$3*AC8/AB$4</f>
        <v>#DIV/0!</v>
      </c>
      <c r="AE8" s="377" t="e">
        <f t="shared" ref="AE8:AE12" ca="1" si="10">IF(AE9="yes","yes",IF(AB8&lt;AD8,"yes","no"))</f>
        <v>#NAME?</v>
      </c>
    </row>
    <row r="9" spans="1:31" x14ac:dyDescent="0.25">
      <c r="A9" t="s">
        <v>147</v>
      </c>
      <c r="B9">
        <v>0.11541999999999999</v>
      </c>
      <c r="C9">
        <f t="shared" ref="C9:C12" si="11">C8</f>
        <v>8.3333333333333332E-3</v>
      </c>
      <c r="D9" s="377" t="str">
        <f t="shared" si="0"/>
        <v>no</v>
      </c>
      <c r="E9">
        <f t="shared" ref="E9:E12" si="12">E8</f>
        <v>8.512444610847103E-3</v>
      </c>
      <c r="F9" s="377" t="str">
        <f t="shared" si="1"/>
        <v>no</v>
      </c>
      <c r="H9" t="e">
        <f ca="1"/>
        <v>#NAME?</v>
      </c>
      <c r="I9" t="e">
        <f ca="1"/>
        <v>#NAME?</v>
      </c>
      <c r="J9" s="377" t="e">
        <f ca="1">RANK_AVG(I9,I$7:I$12)</f>
        <v>#NAME?</v>
      </c>
      <c r="K9" t="e">
        <f t="shared" ca="1" si="2"/>
        <v>#NAME?</v>
      </c>
      <c r="L9" s="377" t="e">
        <f t="shared" ca="1" si="3"/>
        <v>#NAME?</v>
      </c>
      <c r="M9" s="377" t="e">
        <f t="shared" ca="1" si="4"/>
        <v>#NAME?</v>
      </c>
      <c r="O9" t="e">
        <f ca="1"/>
        <v>#NAME?</v>
      </c>
      <c r="P9" t="e">
        <f ca="1"/>
        <v>#NAME?</v>
      </c>
      <c r="Q9" s="377" t="e">
        <f ca="1">RANK_AVG(P9,P$7:P$12)</f>
        <v>#NAME?</v>
      </c>
      <c r="R9" t="e">
        <f t="shared" ca="1" si="5"/>
        <v>#NAME?</v>
      </c>
      <c r="S9" s="377" t="e">
        <f t="shared" ca="1" si="6"/>
        <v>#NAME?</v>
      </c>
      <c r="U9" t="e">
        <f ca="1"/>
        <v>#NAME?</v>
      </c>
      <c r="V9" t="e">
        <f ca="1"/>
        <v>#NAME?</v>
      </c>
      <c r="W9" s="377" t="e">
        <f ca="1">RANK_AVG(V9,V$7:V$12)</f>
        <v>#NAME?</v>
      </c>
      <c r="X9" t="e">
        <f t="shared" ca="1" si="7"/>
        <v>#NAME?</v>
      </c>
      <c r="Y9" s="377" t="e">
        <f t="shared" ca="1" si="8"/>
        <v>#NAME?</v>
      </c>
      <c r="AA9" t="e">
        <f ca="1"/>
        <v>#NAME?</v>
      </c>
      <c r="AB9" t="e">
        <f ca="1"/>
        <v>#NAME?</v>
      </c>
      <c r="AC9">
        <f t="shared" ref="AC9:AC12" ca="1" si="13">AC8-1</f>
        <v>-2</v>
      </c>
      <c r="AD9" t="e">
        <f t="shared" ca="1" si="9"/>
        <v>#DIV/0!</v>
      </c>
      <c r="AE9" s="377" t="e">
        <f t="shared" ca="1" si="10"/>
        <v>#NAME?</v>
      </c>
    </row>
    <row r="10" spans="1:31" x14ac:dyDescent="0.25">
      <c r="A10" t="s">
        <v>148</v>
      </c>
      <c r="B10">
        <v>2.155E-2</v>
      </c>
      <c r="C10">
        <f t="shared" si="11"/>
        <v>8.3333333333333332E-3</v>
      </c>
      <c r="D10" s="377" t="str">
        <f t="shared" si="0"/>
        <v>no</v>
      </c>
      <c r="E10">
        <f t="shared" si="12"/>
        <v>8.512444610847103E-3</v>
      </c>
      <c r="F10" s="377" t="str">
        <f t="shared" si="1"/>
        <v>no</v>
      </c>
      <c r="H10" t="e">
        <f ca="1"/>
        <v>#NAME?</v>
      </c>
      <c r="I10" t="e">
        <f ca="1"/>
        <v>#NAME?</v>
      </c>
      <c r="J10" s="377" t="e">
        <f ca="1">RANK_AVG(I10,I$7:I$12)</f>
        <v>#NAME?</v>
      </c>
      <c r="K10" t="e">
        <f t="shared" ca="1" si="2"/>
        <v>#NAME?</v>
      </c>
      <c r="L10" s="377" t="e">
        <f t="shared" ca="1" si="3"/>
        <v>#NAME?</v>
      </c>
      <c r="M10" s="377" t="e">
        <f t="shared" ca="1" si="4"/>
        <v>#NAME?</v>
      </c>
      <c r="O10" t="e">
        <f ca="1"/>
        <v>#NAME?</v>
      </c>
      <c r="P10" t="e">
        <f ca="1"/>
        <v>#NAME?</v>
      </c>
      <c r="Q10" s="377" t="e">
        <f ca="1">RANK_AVG(P10,P$7:P$12)</f>
        <v>#NAME?</v>
      </c>
      <c r="R10" t="e">
        <f t="shared" ca="1" si="5"/>
        <v>#NAME?</v>
      </c>
      <c r="S10" s="377" t="e">
        <f t="shared" ca="1" si="6"/>
        <v>#NAME?</v>
      </c>
      <c r="U10" t="e">
        <f ca="1"/>
        <v>#NAME?</v>
      </c>
      <c r="V10" t="e">
        <f ca="1"/>
        <v>#NAME?</v>
      </c>
      <c r="W10" s="377" t="e">
        <f ca="1">RANK_AVG(V10,V$7:V$12)</f>
        <v>#NAME?</v>
      </c>
      <c r="X10" t="e">
        <f t="shared" ca="1" si="7"/>
        <v>#NAME?</v>
      </c>
      <c r="Y10" s="377" t="e">
        <f t="shared" ca="1" si="8"/>
        <v>#NAME?</v>
      </c>
      <c r="AA10" t="e">
        <f ca="1"/>
        <v>#NAME?</v>
      </c>
      <c r="AB10" t="e">
        <f ca="1"/>
        <v>#NAME?</v>
      </c>
      <c r="AC10">
        <f t="shared" ca="1" si="13"/>
        <v>-3</v>
      </c>
      <c r="AD10" t="e">
        <f t="shared" ca="1" si="9"/>
        <v>#DIV/0!</v>
      </c>
      <c r="AE10" s="377" t="e">
        <f t="shared" ca="1" si="10"/>
        <v>#NAME?</v>
      </c>
    </row>
    <row r="11" spans="1:31" x14ac:dyDescent="0.25">
      <c r="A11" t="s">
        <v>465</v>
      </c>
      <c r="B11">
        <v>3.329E-2</v>
      </c>
      <c r="C11">
        <f t="shared" si="11"/>
        <v>8.3333333333333332E-3</v>
      </c>
      <c r="D11" s="377" t="str">
        <f t="shared" si="0"/>
        <v>no</v>
      </c>
      <c r="E11">
        <f t="shared" si="12"/>
        <v>8.512444610847103E-3</v>
      </c>
      <c r="F11" s="377" t="str">
        <f t="shared" si="1"/>
        <v>no</v>
      </c>
      <c r="H11" t="e">
        <f ca="1"/>
        <v>#NAME?</v>
      </c>
      <c r="I11" t="e">
        <f ca="1"/>
        <v>#NAME?</v>
      </c>
      <c r="J11" s="377" t="e">
        <f ca="1">RANK_AVG(I11,I$7:I$12)</f>
        <v>#NAME?</v>
      </c>
      <c r="K11" t="e">
        <f t="shared" ca="1" si="2"/>
        <v>#NAME?</v>
      </c>
      <c r="L11" s="377" t="e">
        <f t="shared" ca="1" si="3"/>
        <v>#NAME?</v>
      </c>
      <c r="M11" s="377" t="e">
        <f t="shared" ca="1" si="4"/>
        <v>#NAME?</v>
      </c>
      <c r="O11" t="e">
        <f ca="1"/>
        <v>#NAME?</v>
      </c>
      <c r="P11" t="e">
        <f ca="1"/>
        <v>#NAME?</v>
      </c>
      <c r="Q11" s="377" t="e">
        <f ca="1">RANK_AVG(P11,P$7:P$12)</f>
        <v>#NAME?</v>
      </c>
      <c r="R11" t="e">
        <f t="shared" ca="1" si="5"/>
        <v>#NAME?</v>
      </c>
      <c r="S11" s="377" t="e">
        <f t="shared" ca="1" si="6"/>
        <v>#NAME?</v>
      </c>
      <c r="U11" t="e">
        <f ca="1"/>
        <v>#NAME?</v>
      </c>
      <c r="V11" t="e">
        <f ca="1"/>
        <v>#NAME?</v>
      </c>
      <c r="W11" s="377" t="e">
        <f ca="1">RANK_AVG(V11,V$7:V$12)</f>
        <v>#NAME?</v>
      </c>
      <c r="X11" t="e">
        <f t="shared" ca="1" si="7"/>
        <v>#NAME?</v>
      </c>
      <c r="Y11" s="377" t="e">
        <f t="shared" ca="1" si="8"/>
        <v>#NAME?</v>
      </c>
      <c r="AA11" t="e">
        <f ca="1"/>
        <v>#NAME?</v>
      </c>
      <c r="AB11" t="e">
        <f ca="1"/>
        <v>#NAME?</v>
      </c>
      <c r="AC11">
        <f t="shared" ca="1" si="13"/>
        <v>-4</v>
      </c>
      <c r="AD11" t="e">
        <f t="shared" ca="1" si="9"/>
        <v>#DIV/0!</v>
      </c>
      <c r="AE11" s="377" t="e">
        <f t="shared" ca="1" si="10"/>
        <v>#NAME?</v>
      </c>
    </row>
    <row r="12" spans="1:31" x14ac:dyDescent="0.25">
      <c r="A12" t="s">
        <v>149</v>
      </c>
      <c r="B12" s="379">
        <v>1.042E-2</v>
      </c>
      <c r="C12" s="379">
        <f t="shared" si="11"/>
        <v>8.3333333333333332E-3</v>
      </c>
      <c r="D12" s="380" t="str">
        <f t="shared" si="0"/>
        <v>no</v>
      </c>
      <c r="E12" s="379">
        <f t="shared" si="12"/>
        <v>8.512444610847103E-3</v>
      </c>
      <c r="F12" s="380" t="str">
        <f t="shared" si="1"/>
        <v>no</v>
      </c>
      <c r="H12" t="e">
        <f ca="1"/>
        <v>#NAME?</v>
      </c>
      <c r="I12" s="379" t="e">
        <f ca="1"/>
        <v>#NAME?</v>
      </c>
      <c r="J12" s="380" t="e">
        <f ca="1">RANK_AVG(I12,I$7:I$12)</f>
        <v>#NAME?</v>
      </c>
      <c r="K12" s="379" t="e">
        <f t="shared" ca="1" si="2"/>
        <v>#NAME?</v>
      </c>
      <c r="L12" s="380" t="e">
        <f t="shared" ca="1" si="3"/>
        <v>#NAME?</v>
      </c>
      <c r="M12" s="380" t="e">
        <f t="shared" ca="1" si="4"/>
        <v>#NAME?</v>
      </c>
      <c r="O12" t="e">
        <f ca="1"/>
        <v>#NAME?</v>
      </c>
      <c r="P12" s="379" t="e">
        <f ca="1"/>
        <v>#NAME?</v>
      </c>
      <c r="Q12" s="380" t="e">
        <f ca="1">RANK_AVG(P12,P$7:P$12)</f>
        <v>#NAME?</v>
      </c>
      <c r="R12" s="379" t="e">
        <f t="shared" ca="1" si="5"/>
        <v>#NAME?</v>
      </c>
      <c r="S12" s="380" t="e">
        <f t="shared" ca="1" si="6"/>
        <v>#NAME?</v>
      </c>
      <c r="U12" t="e">
        <f ca="1"/>
        <v>#NAME?</v>
      </c>
      <c r="V12" s="379" t="e">
        <f ca="1"/>
        <v>#NAME?</v>
      </c>
      <c r="W12" s="380" t="e">
        <f ca="1">RANK_AVG(V12,V$7:V$12)</f>
        <v>#NAME?</v>
      </c>
      <c r="X12" s="379" t="e">
        <f t="shared" ca="1" si="7"/>
        <v>#NAME?</v>
      </c>
      <c r="Y12" s="380" t="e">
        <f t="shared" ca="1" si="8"/>
        <v>#NAME?</v>
      </c>
      <c r="AA12" s="379" t="e">
        <f ca="1"/>
        <v>#NAME?</v>
      </c>
      <c r="AB12" s="379" t="e">
        <f ca="1"/>
        <v>#NAME?</v>
      </c>
      <c r="AC12" s="379">
        <f t="shared" ca="1" si="13"/>
        <v>-5</v>
      </c>
      <c r="AD12" s="379" t="e">
        <f t="shared" ca="1" si="9"/>
        <v>#DIV/0!</v>
      </c>
      <c r="AE12" s="380" t="e">
        <f t="shared" ca="1" si="10"/>
        <v>#NAME?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104"/>
  <sheetViews>
    <sheetView workbookViewId="0"/>
  </sheetViews>
  <sheetFormatPr defaultRowHeight="15" x14ac:dyDescent="0.25"/>
  <sheetData>
    <row r="1" spans="1:2" x14ac:dyDescent="0.25">
      <c r="A1" s="1" t="s">
        <v>596</v>
      </c>
    </row>
    <row r="3" spans="1:2" x14ac:dyDescent="0.25">
      <c r="A3" s="19" t="s">
        <v>28</v>
      </c>
      <c r="B3" s="19" t="s">
        <v>29</v>
      </c>
    </row>
    <row r="4" spans="1:2" x14ac:dyDescent="0.25">
      <c r="A4">
        <f>-5</f>
        <v>-5</v>
      </c>
      <c r="B4">
        <f>A4^2</f>
        <v>25</v>
      </c>
    </row>
    <row r="5" spans="1:2" x14ac:dyDescent="0.25">
      <c r="A5">
        <f>A4+0.1</f>
        <v>-4.9000000000000004</v>
      </c>
      <c r="B5">
        <f>A5^2</f>
        <v>24.010000000000005</v>
      </c>
    </row>
    <row r="6" spans="1:2" x14ac:dyDescent="0.25">
      <c r="A6">
        <f t="shared" ref="A6:A69" si="0">A5+0.1</f>
        <v>-4.8000000000000007</v>
      </c>
      <c r="B6">
        <f t="shared" ref="B6:B69" si="1">A6^2</f>
        <v>23.040000000000006</v>
      </c>
    </row>
    <row r="7" spans="1:2" x14ac:dyDescent="0.25">
      <c r="A7">
        <f t="shared" si="0"/>
        <v>-4.7000000000000011</v>
      </c>
      <c r="B7">
        <f t="shared" si="1"/>
        <v>22.090000000000011</v>
      </c>
    </row>
    <row r="8" spans="1:2" x14ac:dyDescent="0.25">
      <c r="A8">
        <f t="shared" si="0"/>
        <v>-4.6000000000000014</v>
      </c>
      <c r="B8">
        <f t="shared" si="1"/>
        <v>21.160000000000014</v>
      </c>
    </row>
    <row r="9" spans="1:2" x14ac:dyDescent="0.25">
      <c r="A9">
        <f t="shared" si="0"/>
        <v>-4.5000000000000018</v>
      </c>
      <c r="B9">
        <f t="shared" si="1"/>
        <v>20.250000000000014</v>
      </c>
    </row>
    <row r="10" spans="1:2" x14ac:dyDescent="0.25">
      <c r="A10">
        <f t="shared" si="0"/>
        <v>-4.4000000000000021</v>
      </c>
      <c r="B10">
        <f t="shared" si="1"/>
        <v>19.360000000000017</v>
      </c>
    </row>
    <row r="11" spans="1:2" x14ac:dyDescent="0.25">
      <c r="A11">
        <f t="shared" si="0"/>
        <v>-4.3000000000000025</v>
      </c>
      <c r="B11">
        <f t="shared" si="1"/>
        <v>18.49000000000002</v>
      </c>
    </row>
    <row r="12" spans="1:2" x14ac:dyDescent="0.25">
      <c r="A12">
        <f t="shared" si="0"/>
        <v>-4.2000000000000028</v>
      </c>
      <c r="B12">
        <f t="shared" si="1"/>
        <v>17.640000000000025</v>
      </c>
    </row>
    <row r="13" spans="1:2" x14ac:dyDescent="0.25">
      <c r="A13">
        <f t="shared" si="0"/>
        <v>-4.1000000000000032</v>
      </c>
      <c r="B13">
        <f t="shared" si="1"/>
        <v>16.810000000000027</v>
      </c>
    </row>
    <row r="14" spans="1:2" x14ac:dyDescent="0.25">
      <c r="A14">
        <f t="shared" si="0"/>
        <v>-4.0000000000000036</v>
      </c>
      <c r="B14">
        <f t="shared" si="1"/>
        <v>16.000000000000028</v>
      </c>
    </row>
    <row r="15" spans="1:2" x14ac:dyDescent="0.25">
      <c r="A15">
        <f t="shared" si="0"/>
        <v>-3.9000000000000035</v>
      </c>
      <c r="B15">
        <f t="shared" si="1"/>
        <v>15.210000000000027</v>
      </c>
    </row>
    <row r="16" spans="1:2" x14ac:dyDescent="0.25">
      <c r="A16">
        <f t="shared" si="0"/>
        <v>-3.8000000000000034</v>
      </c>
      <c r="B16">
        <f t="shared" si="1"/>
        <v>14.440000000000026</v>
      </c>
    </row>
    <row r="17" spans="1:2" x14ac:dyDescent="0.25">
      <c r="A17">
        <f t="shared" si="0"/>
        <v>-3.7000000000000033</v>
      </c>
      <c r="B17">
        <f t="shared" si="1"/>
        <v>13.690000000000024</v>
      </c>
    </row>
    <row r="18" spans="1:2" x14ac:dyDescent="0.25">
      <c r="A18">
        <f t="shared" si="0"/>
        <v>-3.6000000000000032</v>
      </c>
      <c r="B18">
        <f t="shared" si="1"/>
        <v>12.960000000000022</v>
      </c>
    </row>
    <row r="19" spans="1:2" x14ac:dyDescent="0.25">
      <c r="A19">
        <f t="shared" si="0"/>
        <v>-3.5000000000000031</v>
      </c>
      <c r="B19">
        <f t="shared" si="1"/>
        <v>12.250000000000021</v>
      </c>
    </row>
    <row r="20" spans="1:2" x14ac:dyDescent="0.25">
      <c r="A20">
        <f t="shared" si="0"/>
        <v>-3.400000000000003</v>
      </c>
      <c r="B20">
        <f t="shared" si="1"/>
        <v>11.56000000000002</v>
      </c>
    </row>
    <row r="21" spans="1:2" x14ac:dyDescent="0.25">
      <c r="A21">
        <f t="shared" si="0"/>
        <v>-3.3000000000000029</v>
      </c>
      <c r="B21">
        <f t="shared" si="1"/>
        <v>10.89000000000002</v>
      </c>
    </row>
    <row r="22" spans="1:2" x14ac:dyDescent="0.25">
      <c r="A22">
        <f t="shared" si="0"/>
        <v>-3.2000000000000028</v>
      </c>
      <c r="B22">
        <f t="shared" si="1"/>
        <v>10.240000000000018</v>
      </c>
    </row>
    <row r="23" spans="1:2" x14ac:dyDescent="0.25">
      <c r="A23">
        <f t="shared" si="0"/>
        <v>-3.1000000000000028</v>
      </c>
      <c r="B23">
        <f t="shared" si="1"/>
        <v>9.6100000000000172</v>
      </c>
    </row>
    <row r="24" spans="1:2" x14ac:dyDescent="0.25">
      <c r="A24">
        <f t="shared" si="0"/>
        <v>-3.0000000000000027</v>
      </c>
      <c r="B24">
        <f t="shared" si="1"/>
        <v>9.000000000000016</v>
      </c>
    </row>
    <row r="25" spans="1:2" x14ac:dyDescent="0.25">
      <c r="A25">
        <f t="shared" si="0"/>
        <v>-2.9000000000000026</v>
      </c>
      <c r="B25">
        <f t="shared" si="1"/>
        <v>8.4100000000000144</v>
      </c>
    </row>
    <row r="26" spans="1:2" x14ac:dyDescent="0.25">
      <c r="A26">
        <f t="shared" si="0"/>
        <v>-2.8000000000000025</v>
      </c>
      <c r="B26">
        <f t="shared" si="1"/>
        <v>7.8400000000000141</v>
      </c>
    </row>
    <row r="27" spans="1:2" x14ac:dyDescent="0.25">
      <c r="A27">
        <f t="shared" si="0"/>
        <v>-2.7000000000000024</v>
      </c>
      <c r="B27">
        <f t="shared" si="1"/>
        <v>7.2900000000000134</v>
      </c>
    </row>
    <row r="28" spans="1:2" x14ac:dyDescent="0.25">
      <c r="A28">
        <f t="shared" si="0"/>
        <v>-2.6000000000000023</v>
      </c>
      <c r="B28">
        <f t="shared" si="1"/>
        <v>6.7600000000000122</v>
      </c>
    </row>
    <row r="29" spans="1:2" x14ac:dyDescent="0.25">
      <c r="A29">
        <f t="shared" si="0"/>
        <v>-2.5000000000000022</v>
      </c>
      <c r="B29">
        <f t="shared" si="1"/>
        <v>6.2500000000000107</v>
      </c>
    </row>
    <row r="30" spans="1:2" x14ac:dyDescent="0.25">
      <c r="A30">
        <f t="shared" si="0"/>
        <v>-2.4000000000000021</v>
      </c>
      <c r="B30">
        <f t="shared" si="1"/>
        <v>5.7600000000000104</v>
      </c>
    </row>
    <row r="31" spans="1:2" x14ac:dyDescent="0.25">
      <c r="A31">
        <f t="shared" si="0"/>
        <v>-2.300000000000002</v>
      </c>
      <c r="B31">
        <f t="shared" si="1"/>
        <v>5.2900000000000098</v>
      </c>
    </row>
    <row r="32" spans="1:2" x14ac:dyDescent="0.25">
      <c r="A32">
        <f t="shared" si="0"/>
        <v>-2.200000000000002</v>
      </c>
      <c r="B32">
        <f t="shared" si="1"/>
        <v>4.8400000000000087</v>
      </c>
    </row>
    <row r="33" spans="1:2" x14ac:dyDescent="0.25">
      <c r="A33">
        <f t="shared" si="0"/>
        <v>-2.1000000000000019</v>
      </c>
      <c r="B33">
        <f t="shared" si="1"/>
        <v>4.4100000000000081</v>
      </c>
    </row>
    <row r="34" spans="1:2" x14ac:dyDescent="0.25">
      <c r="A34">
        <f t="shared" si="0"/>
        <v>-2.0000000000000018</v>
      </c>
      <c r="B34">
        <f t="shared" si="1"/>
        <v>4.0000000000000071</v>
      </c>
    </row>
    <row r="35" spans="1:2" x14ac:dyDescent="0.25">
      <c r="A35">
        <f t="shared" si="0"/>
        <v>-1.9000000000000017</v>
      </c>
      <c r="B35">
        <f t="shared" si="1"/>
        <v>3.6100000000000065</v>
      </c>
    </row>
    <row r="36" spans="1:2" x14ac:dyDescent="0.25">
      <c r="A36">
        <f t="shared" si="0"/>
        <v>-1.8000000000000016</v>
      </c>
      <c r="B36">
        <f t="shared" si="1"/>
        <v>3.2400000000000055</v>
      </c>
    </row>
    <row r="37" spans="1:2" x14ac:dyDescent="0.25">
      <c r="A37">
        <f t="shared" si="0"/>
        <v>-1.7000000000000015</v>
      </c>
      <c r="B37">
        <f t="shared" si="1"/>
        <v>2.890000000000005</v>
      </c>
    </row>
    <row r="38" spans="1:2" x14ac:dyDescent="0.25">
      <c r="A38">
        <f t="shared" si="0"/>
        <v>-1.6000000000000014</v>
      </c>
      <c r="B38">
        <f t="shared" si="1"/>
        <v>2.5600000000000045</v>
      </c>
    </row>
    <row r="39" spans="1:2" x14ac:dyDescent="0.25">
      <c r="A39">
        <f t="shared" si="0"/>
        <v>-1.5000000000000013</v>
      </c>
      <c r="B39">
        <f t="shared" si="1"/>
        <v>2.250000000000004</v>
      </c>
    </row>
    <row r="40" spans="1:2" x14ac:dyDescent="0.25">
      <c r="A40">
        <f t="shared" si="0"/>
        <v>-1.4000000000000012</v>
      </c>
      <c r="B40">
        <f t="shared" si="1"/>
        <v>1.9600000000000035</v>
      </c>
    </row>
    <row r="41" spans="1:2" x14ac:dyDescent="0.25">
      <c r="A41">
        <f t="shared" si="0"/>
        <v>-1.3000000000000012</v>
      </c>
      <c r="B41">
        <f t="shared" si="1"/>
        <v>1.6900000000000031</v>
      </c>
    </row>
    <row r="42" spans="1:2" x14ac:dyDescent="0.25">
      <c r="A42">
        <f t="shared" si="0"/>
        <v>-1.2000000000000011</v>
      </c>
      <c r="B42">
        <f t="shared" si="1"/>
        <v>1.4400000000000026</v>
      </c>
    </row>
    <row r="43" spans="1:2" x14ac:dyDescent="0.25">
      <c r="A43">
        <f t="shared" si="0"/>
        <v>-1.100000000000001</v>
      </c>
      <c r="B43">
        <f t="shared" si="1"/>
        <v>1.2100000000000022</v>
      </c>
    </row>
    <row r="44" spans="1:2" x14ac:dyDescent="0.25">
      <c r="A44">
        <f t="shared" si="0"/>
        <v>-1.0000000000000009</v>
      </c>
      <c r="B44">
        <f t="shared" si="1"/>
        <v>1.0000000000000018</v>
      </c>
    </row>
    <row r="45" spans="1:2" x14ac:dyDescent="0.25">
      <c r="A45">
        <f t="shared" si="0"/>
        <v>-0.90000000000000091</v>
      </c>
      <c r="B45">
        <f t="shared" si="1"/>
        <v>0.81000000000000161</v>
      </c>
    </row>
    <row r="46" spans="1:2" x14ac:dyDescent="0.25">
      <c r="A46">
        <f t="shared" si="0"/>
        <v>-0.80000000000000093</v>
      </c>
      <c r="B46">
        <f t="shared" si="1"/>
        <v>0.64000000000000146</v>
      </c>
    </row>
    <row r="47" spans="1:2" x14ac:dyDescent="0.25">
      <c r="A47">
        <f t="shared" si="0"/>
        <v>-0.70000000000000095</v>
      </c>
      <c r="B47">
        <f t="shared" si="1"/>
        <v>0.49000000000000132</v>
      </c>
    </row>
    <row r="48" spans="1:2" x14ac:dyDescent="0.25">
      <c r="A48">
        <f t="shared" si="0"/>
        <v>-0.60000000000000098</v>
      </c>
      <c r="B48">
        <f t="shared" si="1"/>
        <v>0.36000000000000115</v>
      </c>
    </row>
    <row r="49" spans="1:2" x14ac:dyDescent="0.25">
      <c r="A49">
        <f t="shared" si="0"/>
        <v>-0.500000000000001</v>
      </c>
      <c r="B49">
        <f t="shared" si="1"/>
        <v>0.250000000000001</v>
      </c>
    </row>
    <row r="50" spans="1:2" x14ac:dyDescent="0.25">
      <c r="A50">
        <f t="shared" si="0"/>
        <v>-0.40000000000000102</v>
      </c>
      <c r="B50">
        <f t="shared" si="1"/>
        <v>0.16000000000000081</v>
      </c>
    </row>
    <row r="51" spans="1:2" x14ac:dyDescent="0.25">
      <c r="A51">
        <f t="shared" si="0"/>
        <v>-0.30000000000000104</v>
      </c>
      <c r="B51">
        <f t="shared" si="1"/>
        <v>9.0000000000000621E-2</v>
      </c>
    </row>
    <row r="52" spans="1:2" x14ac:dyDescent="0.25">
      <c r="A52">
        <f t="shared" si="0"/>
        <v>-0.20000000000000104</v>
      </c>
      <c r="B52">
        <f t="shared" si="1"/>
        <v>4.0000000000000417E-2</v>
      </c>
    </row>
    <row r="53" spans="1:2" x14ac:dyDescent="0.25">
      <c r="A53">
        <f t="shared" si="0"/>
        <v>-0.10000000000000103</v>
      </c>
      <c r="B53">
        <f t="shared" si="1"/>
        <v>1.0000000000000207E-2</v>
      </c>
    </row>
    <row r="54" spans="1:2" x14ac:dyDescent="0.25">
      <c r="A54">
        <v>0</v>
      </c>
      <c r="B54">
        <f t="shared" si="1"/>
        <v>0</v>
      </c>
    </row>
    <row r="55" spans="1:2" x14ac:dyDescent="0.25">
      <c r="A55">
        <f t="shared" si="0"/>
        <v>0.1</v>
      </c>
      <c r="B55">
        <f t="shared" si="1"/>
        <v>1.0000000000000002E-2</v>
      </c>
    </row>
    <row r="56" spans="1:2" x14ac:dyDescent="0.25">
      <c r="A56">
        <f t="shared" si="0"/>
        <v>0.2</v>
      </c>
      <c r="B56">
        <f t="shared" si="1"/>
        <v>4.0000000000000008E-2</v>
      </c>
    </row>
    <row r="57" spans="1:2" x14ac:dyDescent="0.25">
      <c r="A57">
        <f t="shared" si="0"/>
        <v>0.30000000000000004</v>
      </c>
      <c r="B57">
        <f t="shared" si="1"/>
        <v>9.0000000000000024E-2</v>
      </c>
    </row>
    <row r="58" spans="1:2" x14ac:dyDescent="0.25">
      <c r="A58">
        <f t="shared" si="0"/>
        <v>0.4</v>
      </c>
      <c r="B58">
        <f t="shared" si="1"/>
        <v>0.16000000000000003</v>
      </c>
    </row>
    <row r="59" spans="1:2" x14ac:dyDescent="0.25">
      <c r="A59">
        <f t="shared" si="0"/>
        <v>0.5</v>
      </c>
      <c r="B59">
        <f t="shared" si="1"/>
        <v>0.25</v>
      </c>
    </row>
    <row r="60" spans="1:2" x14ac:dyDescent="0.25">
      <c r="A60">
        <f t="shared" si="0"/>
        <v>0.6</v>
      </c>
      <c r="B60">
        <f t="shared" si="1"/>
        <v>0.36</v>
      </c>
    </row>
    <row r="61" spans="1:2" x14ac:dyDescent="0.25">
      <c r="A61">
        <f t="shared" si="0"/>
        <v>0.7</v>
      </c>
      <c r="B61">
        <f t="shared" si="1"/>
        <v>0.48999999999999994</v>
      </c>
    </row>
    <row r="62" spans="1:2" x14ac:dyDescent="0.25">
      <c r="A62">
        <f t="shared" si="0"/>
        <v>0.79999999999999993</v>
      </c>
      <c r="B62">
        <f t="shared" si="1"/>
        <v>0.6399999999999999</v>
      </c>
    </row>
    <row r="63" spans="1:2" x14ac:dyDescent="0.25">
      <c r="A63">
        <f t="shared" si="0"/>
        <v>0.89999999999999991</v>
      </c>
      <c r="B63">
        <f t="shared" si="1"/>
        <v>0.80999999999999983</v>
      </c>
    </row>
    <row r="64" spans="1:2" x14ac:dyDescent="0.25">
      <c r="A64">
        <f t="shared" si="0"/>
        <v>0.99999999999999989</v>
      </c>
      <c r="B64">
        <f t="shared" si="1"/>
        <v>0.99999999999999978</v>
      </c>
    </row>
    <row r="65" spans="1:2" x14ac:dyDescent="0.25">
      <c r="A65">
        <f t="shared" si="0"/>
        <v>1.0999999999999999</v>
      </c>
      <c r="B65">
        <f t="shared" si="1"/>
        <v>1.2099999999999997</v>
      </c>
    </row>
    <row r="66" spans="1:2" x14ac:dyDescent="0.25">
      <c r="A66">
        <f t="shared" si="0"/>
        <v>1.2</v>
      </c>
      <c r="B66">
        <f t="shared" si="1"/>
        <v>1.44</v>
      </c>
    </row>
    <row r="67" spans="1:2" x14ac:dyDescent="0.25">
      <c r="A67">
        <f t="shared" si="0"/>
        <v>1.3</v>
      </c>
      <c r="B67">
        <f t="shared" si="1"/>
        <v>1.6900000000000002</v>
      </c>
    </row>
    <row r="68" spans="1:2" x14ac:dyDescent="0.25">
      <c r="A68">
        <f t="shared" si="0"/>
        <v>1.4000000000000001</v>
      </c>
      <c r="B68">
        <f t="shared" si="1"/>
        <v>1.9600000000000004</v>
      </c>
    </row>
    <row r="69" spans="1:2" x14ac:dyDescent="0.25">
      <c r="A69">
        <f t="shared" si="0"/>
        <v>1.5000000000000002</v>
      </c>
      <c r="B69">
        <f t="shared" si="1"/>
        <v>2.2500000000000009</v>
      </c>
    </row>
    <row r="70" spans="1:2" x14ac:dyDescent="0.25">
      <c r="A70">
        <f t="shared" ref="A70:A104" si="2">A69+0.1</f>
        <v>1.6000000000000003</v>
      </c>
      <c r="B70">
        <f t="shared" ref="B70:B104" si="3">A70^2</f>
        <v>2.5600000000000009</v>
      </c>
    </row>
    <row r="71" spans="1:2" x14ac:dyDescent="0.25">
      <c r="A71">
        <f t="shared" si="2"/>
        <v>1.7000000000000004</v>
      </c>
      <c r="B71">
        <f t="shared" si="3"/>
        <v>2.8900000000000015</v>
      </c>
    </row>
    <row r="72" spans="1:2" x14ac:dyDescent="0.25">
      <c r="A72">
        <f t="shared" si="2"/>
        <v>1.8000000000000005</v>
      </c>
      <c r="B72">
        <f t="shared" si="3"/>
        <v>3.2400000000000015</v>
      </c>
    </row>
    <row r="73" spans="1:2" x14ac:dyDescent="0.25">
      <c r="A73">
        <f t="shared" si="2"/>
        <v>1.9000000000000006</v>
      </c>
      <c r="B73">
        <f t="shared" si="3"/>
        <v>3.6100000000000021</v>
      </c>
    </row>
    <row r="74" spans="1:2" x14ac:dyDescent="0.25">
      <c r="A74">
        <f t="shared" si="2"/>
        <v>2.0000000000000004</v>
      </c>
      <c r="B74">
        <f t="shared" si="3"/>
        <v>4.0000000000000018</v>
      </c>
    </row>
    <row r="75" spans="1:2" x14ac:dyDescent="0.25">
      <c r="A75">
        <f t="shared" si="2"/>
        <v>2.1000000000000005</v>
      </c>
      <c r="B75">
        <f t="shared" si="3"/>
        <v>4.4100000000000019</v>
      </c>
    </row>
    <row r="76" spans="1:2" x14ac:dyDescent="0.25">
      <c r="A76">
        <f t="shared" si="2"/>
        <v>2.2000000000000006</v>
      </c>
      <c r="B76">
        <f t="shared" si="3"/>
        <v>4.8400000000000025</v>
      </c>
    </row>
    <row r="77" spans="1:2" x14ac:dyDescent="0.25">
      <c r="A77">
        <f t="shared" si="2"/>
        <v>2.3000000000000007</v>
      </c>
      <c r="B77">
        <f t="shared" si="3"/>
        <v>5.2900000000000036</v>
      </c>
    </row>
    <row r="78" spans="1:2" x14ac:dyDescent="0.25">
      <c r="A78">
        <f t="shared" si="2"/>
        <v>2.4000000000000008</v>
      </c>
      <c r="B78">
        <f t="shared" si="3"/>
        <v>5.7600000000000042</v>
      </c>
    </row>
    <row r="79" spans="1:2" x14ac:dyDescent="0.25">
      <c r="A79">
        <f t="shared" si="2"/>
        <v>2.5000000000000009</v>
      </c>
      <c r="B79">
        <f t="shared" si="3"/>
        <v>6.2500000000000044</v>
      </c>
    </row>
    <row r="80" spans="1:2" x14ac:dyDescent="0.25">
      <c r="A80">
        <f t="shared" si="2"/>
        <v>2.600000000000001</v>
      </c>
      <c r="B80">
        <f t="shared" si="3"/>
        <v>6.7600000000000051</v>
      </c>
    </row>
    <row r="81" spans="1:2" x14ac:dyDescent="0.25">
      <c r="A81">
        <f t="shared" si="2"/>
        <v>2.7000000000000011</v>
      </c>
      <c r="B81">
        <f t="shared" si="3"/>
        <v>7.2900000000000054</v>
      </c>
    </row>
    <row r="82" spans="1:2" x14ac:dyDescent="0.25">
      <c r="A82">
        <f t="shared" si="2"/>
        <v>2.8000000000000012</v>
      </c>
      <c r="B82">
        <f t="shared" si="3"/>
        <v>7.8400000000000061</v>
      </c>
    </row>
    <row r="83" spans="1:2" x14ac:dyDescent="0.25">
      <c r="A83">
        <f t="shared" si="2"/>
        <v>2.9000000000000012</v>
      </c>
      <c r="B83">
        <f t="shared" si="3"/>
        <v>8.4100000000000072</v>
      </c>
    </row>
    <row r="84" spans="1:2" x14ac:dyDescent="0.25">
      <c r="A84">
        <f t="shared" si="2"/>
        <v>3.0000000000000013</v>
      </c>
      <c r="B84">
        <f t="shared" si="3"/>
        <v>9.0000000000000071</v>
      </c>
    </row>
    <row r="85" spans="1:2" x14ac:dyDescent="0.25">
      <c r="A85">
        <f t="shared" si="2"/>
        <v>3.1000000000000014</v>
      </c>
      <c r="B85">
        <f t="shared" si="3"/>
        <v>9.6100000000000083</v>
      </c>
    </row>
    <row r="86" spans="1:2" x14ac:dyDescent="0.25">
      <c r="A86">
        <f t="shared" si="2"/>
        <v>3.2000000000000015</v>
      </c>
      <c r="B86">
        <f t="shared" si="3"/>
        <v>10.240000000000009</v>
      </c>
    </row>
    <row r="87" spans="1:2" x14ac:dyDescent="0.25">
      <c r="A87">
        <f t="shared" si="2"/>
        <v>3.3000000000000016</v>
      </c>
      <c r="B87">
        <f t="shared" si="3"/>
        <v>10.890000000000011</v>
      </c>
    </row>
    <row r="88" spans="1:2" x14ac:dyDescent="0.25">
      <c r="A88">
        <f t="shared" si="2"/>
        <v>3.4000000000000017</v>
      </c>
      <c r="B88">
        <f t="shared" si="3"/>
        <v>11.560000000000011</v>
      </c>
    </row>
    <row r="89" spans="1:2" x14ac:dyDescent="0.25">
      <c r="A89">
        <f t="shared" si="2"/>
        <v>3.5000000000000018</v>
      </c>
      <c r="B89">
        <f t="shared" si="3"/>
        <v>12.250000000000012</v>
      </c>
    </row>
    <row r="90" spans="1:2" x14ac:dyDescent="0.25">
      <c r="A90">
        <f t="shared" si="2"/>
        <v>3.6000000000000019</v>
      </c>
      <c r="B90">
        <f t="shared" si="3"/>
        <v>12.960000000000013</v>
      </c>
    </row>
    <row r="91" spans="1:2" x14ac:dyDescent="0.25">
      <c r="A91">
        <f t="shared" si="2"/>
        <v>3.700000000000002</v>
      </c>
      <c r="B91">
        <f t="shared" si="3"/>
        <v>13.690000000000014</v>
      </c>
    </row>
    <row r="92" spans="1:2" x14ac:dyDescent="0.25">
      <c r="A92">
        <f t="shared" si="2"/>
        <v>3.800000000000002</v>
      </c>
      <c r="B92">
        <f t="shared" si="3"/>
        <v>14.440000000000015</v>
      </c>
    </row>
    <row r="93" spans="1:2" x14ac:dyDescent="0.25">
      <c r="A93">
        <f t="shared" si="2"/>
        <v>3.9000000000000021</v>
      </c>
      <c r="B93">
        <f t="shared" si="3"/>
        <v>15.210000000000017</v>
      </c>
    </row>
    <row r="94" spans="1:2" x14ac:dyDescent="0.25">
      <c r="A94">
        <f t="shared" si="2"/>
        <v>4.0000000000000018</v>
      </c>
      <c r="B94">
        <f t="shared" si="3"/>
        <v>16.000000000000014</v>
      </c>
    </row>
    <row r="95" spans="1:2" x14ac:dyDescent="0.25">
      <c r="A95">
        <f t="shared" si="2"/>
        <v>4.1000000000000014</v>
      </c>
      <c r="B95">
        <f t="shared" si="3"/>
        <v>16.810000000000013</v>
      </c>
    </row>
    <row r="96" spans="1:2" x14ac:dyDescent="0.25">
      <c r="A96">
        <f t="shared" si="2"/>
        <v>4.2000000000000011</v>
      </c>
      <c r="B96">
        <f t="shared" si="3"/>
        <v>17.640000000000008</v>
      </c>
    </row>
    <row r="97" spans="1:2" x14ac:dyDescent="0.25">
      <c r="A97">
        <f t="shared" si="2"/>
        <v>4.3000000000000007</v>
      </c>
      <c r="B97">
        <f t="shared" si="3"/>
        <v>18.490000000000006</v>
      </c>
    </row>
    <row r="98" spans="1:2" x14ac:dyDescent="0.25">
      <c r="A98">
        <f t="shared" si="2"/>
        <v>4.4000000000000004</v>
      </c>
      <c r="B98">
        <f t="shared" si="3"/>
        <v>19.360000000000003</v>
      </c>
    </row>
    <row r="99" spans="1:2" x14ac:dyDescent="0.25">
      <c r="A99">
        <f t="shared" si="2"/>
        <v>4.5</v>
      </c>
      <c r="B99">
        <f t="shared" si="3"/>
        <v>20.25</v>
      </c>
    </row>
    <row r="100" spans="1:2" x14ac:dyDescent="0.25">
      <c r="A100">
        <f t="shared" si="2"/>
        <v>4.5999999999999996</v>
      </c>
      <c r="B100">
        <f t="shared" si="3"/>
        <v>21.159999999999997</v>
      </c>
    </row>
    <row r="101" spans="1:2" x14ac:dyDescent="0.25">
      <c r="A101">
        <f t="shared" si="2"/>
        <v>4.6999999999999993</v>
      </c>
      <c r="B101">
        <f t="shared" si="3"/>
        <v>22.089999999999993</v>
      </c>
    </row>
    <row r="102" spans="1:2" x14ac:dyDescent="0.25">
      <c r="A102">
        <f t="shared" si="2"/>
        <v>4.7999999999999989</v>
      </c>
      <c r="B102">
        <f t="shared" si="3"/>
        <v>23.039999999999988</v>
      </c>
    </row>
    <row r="103" spans="1:2" x14ac:dyDescent="0.25">
      <c r="A103">
        <f t="shared" si="2"/>
        <v>4.8999999999999986</v>
      </c>
      <c r="B103">
        <f t="shared" si="3"/>
        <v>24.009999999999987</v>
      </c>
    </row>
    <row r="104" spans="1:2" x14ac:dyDescent="0.25">
      <c r="A104">
        <f t="shared" si="2"/>
        <v>4.9999999999999982</v>
      </c>
      <c r="B104">
        <f t="shared" si="3"/>
        <v>24.999999999999982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8"/>
  <sheetViews>
    <sheetView workbookViewId="0"/>
  </sheetViews>
  <sheetFormatPr defaultRowHeight="15" x14ac:dyDescent="0.25"/>
  <cols>
    <col min="3" max="3" width="4.7109375" customWidth="1"/>
    <col min="4" max="4" width="14.5703125" customWidth="1"/>
    <col min="5" max="5" width="4.7109375" customWidth="1"/>
    <col min="7" max="7" width="4.7109375" customWidth="1"/>
    <col min="8" max="8" width="11.42578125" customWidth="1"/>
    <col min="9" max="9" width="4.7109375" customWidth="1"/>
    <col min="11" max="11" width="4.7109375" customWidth="1"/>
    <col min="12" max="12" width="38.28515625" customWidth="1"/>
    <col min="13" max="13" width="4.7109375" customWidth="1"/>
    <col min="16" max="16" width="4.28515625" customWidth="1"/>
    <col min="17" max="17" width="21.7109375" customWidth="1"/>
  </cols>
  <sheetData>
    <row r="1" spans="1:17" x14ac:dyDescent="0.25">
      <c r="A1" s="1" t="s">
        <v>790</v>
      </c>
      <c r="N1" t="s">
        <v>791</v>
      </c>
    </row>
    <row r="3" spans="1:17" x14ac:dyDescent="0.25">
      <c r="A3" s="286" t="s">
        <v>28</v>
      </c>
      <c r="B3" s="376" t="s">
        <v>792</v>
      </c>
      <c r="F3" s="376" t="s">
        <v>792</v>
      </c>
      <c r="J3" s="376" t="s">
        <v>792</v>
      </c>
    </row>
    <row r="4" spans="1:17" x14ac:dyDescent="0.25">
      <c r="A4" s="289">
        <v>0.5</v>
      </c>
      <c r="B4" t="e">
        <f ca="1">XGAMMA(A4)</f>
        <v>#NAME?</v>
      </c>
      <c r="D4" t="e">
        <f ca="1">FTEXT(B4)</f>
        <v>#NAME?</v>
      </c>
      <c r="F4">
        <f>SQRT(PI())</f>
        <v>1.7724538509055159</v>
      </c>
      <c r="H4" t="e">
        <f ca="1">FTEXT(F4)</f>
        <v>#NAME?</v>
      </c>
      <c r="N4" t="s">
        <v>28</v>
      </c>
      <c r="O4">
        <v>5</v>
      </c>
    </row>
    <row r="5" spans="1:17" x14ac:dyDescent="0.25">
      <c r="A5" s="289">
        <f>A4-1</f>
        <v>-0.5</v>
      </c>
      <c r="B5" t="e">
        <f ca="1">XGAMMA(A5)</f>
        <v>#NAME?</v>
      </c>
      <c r="D5" t="e">
        <f ca="1">FTEXT(B5)</f>
        <v>#NAME?</v>
      </c>
      <c r="F5">
        <f>F4/A5</f>
        <v>-3.5449077018110318</v>
      </c>
      <c r="H5" t="e">
        <f ca="1">FTEXT(F5)</f>
        <v>#NAME?</v>
      </c>
      <c r="J5" t="e">
        <f ca="1">-PI()/(-A5*XGAMMA(-A5)*SIN(-PI()*A5))</f>
        <v>#NAME?</v>
      </c>
      <c r="L5" t="e">
        <f ca="1">FTEXT(J5)</f>
        <v>#NAME?</v>
      </c>
      <c r="N5" t="s">
        <v>604</v>
      </c>
      <c r="O5">
        <v>4</v>
      </c>
    </row>
    <row r="6" spans="1:17" x14ac:dyDescent="0.25">
      <c r="A6" s="289">
        <f t="shared" ref="A6:A7" si="0">A5-1</f>
        <v>-1.5</v>
      </c>
      <c r="B6" t="e">
        <f ca="1">XGAMMA(A6)</f>
        <v>#NAME?</v>
      </c>
      <c r="D6" t="e">
        <f ca="1">FTEXT(B6)</f>
        <v>#NAME?</v>
      </c>
      <c r="F6">
        <f>F5/A6</f>
        <v>2.3632718012073544</v>
      </c>
      <c r="H6" t="e">
        <f ca="1">FTEXT(F6)</f>
        <v>#NAME?</v>
      </c>
      <c r="J6" t="e">
        <f ca="1">-PI()/(-A6*XGAMMA(-A6)*SIN(-PI()*A6))</f>
        <v>#NAME?</v>
      </c>
      <c r="L6" t="e">
        <f ca="1">FTEXT(J6)</f>
        <v>#NAME?</v>
      </c>
      <c r="N6" t="s">
        <v>102</v>
      </c>
      <c r="O6" t="e">
        <f ca="1">LowerGamma(O4,O5)</f>
        <v>#NAME?</v>
      </c>
      <c r="Q6" t="e">
        <f ca="1">FTEXT(O6)</f>
        <v>#NAME?</v>
      </c>
    </row>
    <row r="7" spans="1:17" x14ac:dyDescent="0.25">
      <c r="A7" s="353">
        <f t="shared" si="0"/>
        <v>-2.5</v>
      </c>
      <c r="B7" s="334" t="e">
        <f ca="1">XGAMMA(A7)</f>
        <v>#NAME?</v>
      </c>
      <c r="D7" t="e">
        <f ca="1">FTEXT(B7)</f>
        <v>#NAME?</v>
      </c>
      <c r="F7" s="334">
        <f>F6/A7</f>
        <v>-0.94530872048294179</v>
      </c>
      <c r="H7" t="e">
        <f ca="1">FTEXT(F7)</f>
        <v>#NAME?</v>
      </c>
      <c r="J7" t="e">
        <f ca="1">-PI()/(-A7*XGAMMA(-A7)*SIN(-PI()*A7))</f>
        <v>#NAME?</v>
      </c>
      <c r="L7" t="e">
        <f ca="1">FTEXT(J7)</f>
        <v>#NAME?</v>
      </c>
      <c r="N7" t="s">
        <v>103</v>
      </c>
      <c r="O7" t="e">
        <f ca="1">UpperGamma(O4,O5)</f>
        <v>#NAME?</v>
      </c>
      <c r="Q7" t="e">
        <f ca="1">FTEXT(O7)</f>
        <v>#NAME?</v>
      </c>
    </row>
    <row r="8" spans="1:17" x14ac:dyDescent="0.25">
      <c r="N8" t="s">
        <v>793</v>
      </c>
      <c r="O8" t="e">
        <f ca="1">O6+O7</f>
        <v>#NAME?</v>
      </c>
      <c r="Q8" t="e">
        <f ca="1">FTEXT(O8)</f>
        <v>#NAME?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23"/>
  <sheetViews>
    <sheetView workbookViewId="0"/>
  </sheetViews>
  <sheetFormatPr defaultRowHeight="15" x14ac:dyDescent="0.25"/>
  <cols>
    <col min="1" max="1" width="10.42578125" customWidth="1"/>
    <col min="4" max="4" width="6.7109375" customWidth="1"/>
    <col min="5" max="5" width="9.140625" style="289"/>
    <col min="6" max="6" width="9.140625" style="289" customWidth="1"/>
    <col min="7" max="7" width="9.140625" style="289"/>
    <col min="8" max="8" width="3.5703125" style="289" customWidth="1"/>
    <col min="9" max="9" width="45.7109375" customWidth="1"/>
  </cols>
  <sheetData>
    <row r="1" spans="1:9" x14ac:dyDescent="0.25">
      <c r="A1" t="s">
        <v>597</v>
      </c>
      <c r="B1" t="s">
        <v>598</v>
      </c>
      <c r="C1" s="289" t="s">
        <v>119</v>
      </c>
      <c r="E1" s="289" t="s">
        <v>598</v>
      </c>
      <c r="F1" s="289" t="s">
        <v>86</v>
      </c>
    </row>
    <row r="2" spans="1:9" x14ac:dyDescent="0.25">
      <c r="A2" s="196" t="s">
        <v>599</v>
      </c>
      <c r="B2" s="178" t="s">
        <v>145</v>
      </c>
      <c r="C2" s="234">
        <v>23</v>
      </c>
      <c r="E2" s="237" t="s">
        <v>145</v>
      </c>
      <c r="F2" s="234">
        <f>SUMIF($B$2:$B$9,$E2,$C$2:$C$9)</f>
        <v>97</v>
      </c>
      <c r="I2" s="22" t="e">
        <f ca="1">FTEXT(F2)</f>
        <v>#NAME?</v>
      </c>
    </row>
    <row r="3" spans="1:9" x14ac:dyDescent="0.25">
      <c r="A3" s="92" t="s">
        <v>599</v>
      </c>
      <c r="B3" s="8" t="s">
        <v>142</v>
      </c>
      <c r="C3" s="89">
        <v>34</v>
      </c>
      <c r="E3" s="87" t="s">
        <v>142</v>
      </c>
      <c r="F3" s="82">
        <f>SUMIF($B$2:$B$9,$E3,$C$2:$C$9)</f>
        <v>92</v>
      </c>
      <c r="I3" s="22" t="e">
        <f ca="1">FTEXT(F3)</f>
        <v>#NAME?</v>
      </c>
    </row>
    <row r="4" spans="1:9" x14ac:dyDescent="0.25">
      <c r="A4" s="92" t="s">
        <v>600</v>
      </c>
      <c r="B4" s="8" t="s">
        <v>145</v>
      </c>
      <c r="C4" s="89">
        <v>38</v>
      </c>
    </row>
    <row r="5" spans="1:9" x14ac:dyDescent="0.25">
      <c r="A5" s="92" t="s">
        <v>600</v>
      </c>
      <c r="B5" s="8" t="s">
        <v>142</v>
      </c>
      <c r="C5" s="89">
        <v>12</v>
      </c>
      <c r="E5" s="289" t="s">
        <v>597</v>
      </c>
      <c r="F5" s="60" t="s">
        <v>598</v>
      </c>
      <c r="G5" s="60" t="s">
        <v>86</v>
      </c>
      <c r="H5" s="60"/>
    </row>
    <row r="6" spans="1:9" x14ac:dyDescent="0.25">
      <c r="A6" s="92" t="s">
        <v>601</v>
      </c>
      <c r="B6" s="8" t="s">
        <v>145</v>
      </c>
      <c r="C6" s="89">
        <v>25</v>
      </c>
      <c r="E6" s="292" t="s">
        <v>599</v>
      </c>
      <c r="F6" s="293" t="s">
        <v>145</v>
      </c>
      <c r="G6" s="234">
        <f>SUMIFS($C$2:$C$9,$A$2:$A$9,E6,$B$2:$B$9,F6)</f>
        <v>23</v>
      </c>
      <c r="H6" s="277"/>
      <c r="I6" s="22" t="e">
        <f ca="1">FTEXT(G6)</f>
        <v>#NAME?</v>
      </c>
    </row>
    <row r="7" spans="1:9" x14ac:dyDescent="0.25">
      <c r="A7" s="92" t="s">
        <v>601</v>
      </c>
      <c r="B7" s="8" t="s">
        <v>142</v>
      </c>
      <c r="C7" s="89">
        <v>19</v>
      </c>
      <c r="E7" s="294" t="s">
        <v>601</v>
      </c>
      <c r="F7" s="295" t="s">
        <v>142</v>
      </c>
      <c r="G7" s="82">
        <f>SUMIFS($C$2:$C$9,$A$2:$A$9,E7,$B$2:$B$9,F7)</f>
        <v>19</v>
      </c>
      <c r="H7" s="277"/>
      <c r="I7" s="22" t="e">
        <f ca="1">FTEXT(G7)</f>
        <v>#NAME?</v>
      </c>
    </row>
    <row r="8" spans="1:9" x14ac:dyDescent="0.25">
      <c r="A8" s="92" t="s">
        <v>602</v>
      </c>
      <c r="B8" s="8" t="s">
        <v>145</v>
      </c>
      <c r="C8" s="89">
        <v>11</v>
      </c>
    </row>
    <row r="9" spans="1:9" x14ac:dyDescent="0.25">
      <c r="A9" s="80" t="s">
        <v>602</v>
      </c>
      <c r="B9" s="162" t="s">
        <v>142</v>
      </c>
      <c r="C9" s="82">
        <v>27</v>
      </c>
    </row>
    <row r="12" spans="1:9" x14ac:dyDescent="0.25">
      <c r="A12" s="296" t="s">
        <v>137</v>
      </c>
      <c r="B12" s="289" t="s">
        <v>22</v>
      </c>
      <c r="C12" s="289" t="s">
        <v>603</v>
      </c>
      <c r="E12" s="289" t="s">
        <v>22</v>
      </c>
      <c r="F12" s="289" t="s">
        <v>86</v>
      </c>
    </row>
    <row r="13" spans="1:9" x14ac:dyDescent="0.25">
      <c r="A13" s="221" t="s">
        <v>200</v>
      </c>
      <c r="B13" s="297">
        <v>34</v>
      </c>
      <c r="C13" s="234">
        <v>45000</v>
      </c>
      <c r="E13" s="237">
        <v>30</v>
      </c>
      <c r="F13" s="234">
        <f>SUMIF($B$13:$B$17,"&gt;"&amp;E13,$C$13:$C$17)</f>
        <v>174000</v>
      </c>
      <c r="I13" s="22" t="e">
        <f ca="1">FTEXT(F13)</f>
        <v>#NAME?</v>
      </c>
    </row>
    <row r="14" spans="1:9" x14ac:dyDescent="0.25">
      <c r="A14" s="97" t="s">
        <v>201</v>
      </c>
      <c r="B14" s="277">
        <v>54</v>
      </c>
      <c r="C14" s="89">
        <v>80000</v>
      </c>
      <c r="E14" s="87">
        <v>60</v>
      </c>
      <c r="F14" s="82">
        <f>SUMIF($B$13:$B$17,"&gt;"&amp;E14,$C$13:$C$17)</f>
        <v>15000</v>
      </c>
      <c r="I14" s="22" t="e">
        <f ca="1">FTEXT(F14)</f>
        <v>#NAME?</v>
      </c>
    </row>
    <row r="15" spans="1:9" x14ac:dyDescent="0.25">
      <c r="A15" s="97" t="s">
        <v>202</v>
      </c>
      <c r="B15" s="277">
        <v>23</v>
      </c>
      <c r="C15" s="89">
        <v>30000</v>
      </c>
    </row>
    <row r="16" spans="1:9" x14ac:dyDescent="0.25">
      <c r="A16" s="97" t="s">
        <v>203</v>
      </c>
      <c r="B16" s="277">
        <v>44</v>
      </c>
      <c r="C16" s="89">
        <v>34000</v>
      </c>
      <c r="E16" s="289" t="s">
        <v>22</v>
      </c>
      <c r="F16" s="289" t="s">
        <v>87</v>
      </c>
    </row>
    <row r="17" spans="1:9" x14ac:dyDescent="0.25">
      <c r="A17" s="99" t="s">
        <v>204</v>
      </c>
      <c r="B17" s="281">
        <v>70</v>
      </c>
      <c r="C17" s="82">
        <v>15000</v>
      </c>
      <c r="E17" s="290">
        <v>30</v>
      </c>
      <c r="F17" s="291">
        <f>COUNTIF($B$13:$B$17,"&gt;"&amp;E17)</f>
        <v>4</v>
      </c>
      <c r="I17" s="22" t="e">
        <f ca="1">FTEXT(F17)</f>
        <v>#NAME?</v>
      </c>
    </row>
    <row r="19" spans="1:9" x14ac:dyDescent="0.25">
      <c r="E19" s="289" t="s">
        <v>22</v>
      </c>
      <c r="F19" s="289" t="s">
        <v>603</v>
      </c>
      <c r="G19" s="289" t="s">
        <v>87</v>
      </c>
    </row>
    <row r="20" spans="1:9" x14ac:dyDescent="0.25">
      <c r="E20" s="290">
        <v>30</v>
      </c>
      <c r="F20" s="273">
        <v>30000</v>
      </c>
      <c r="G20" s="291">
        <f>COUNTIFS(B13:B17,"&gt;"&amp;E20,C13:C17,"&gt;"&amp;F20)</f>
        <v>3</v>
      </c>
      <c r="H20" s="277"/>
      <c r="I20" s="22" t="e">
        <f ca="1">FTEXT(G20)</f>
        <v>#NAME?</v>
      </c>
    </row>
    <row r="23" spans="1:9" x14ac:dyDescent="0.25">
      <c r="I23" s="298"/>
    </row>
  </sheetData>
  <pageMargins left="0.7" right="0.7" top="0.75" bottom="0.75" header="0.3" footer="0.3"/>
  <pageSetup paperSize="9" orientation="portrait" horizontalDpi="300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6"/>
  <sheetViews>
    <sheetView workbookViewId="0"/>
  </sheetViews>
  <sheetFormatPr defaultRowHeight="15" x14ac:dyDescent="0.25"/>
  <cols>
    <col min="8" max="8" width="4.7109375" customWidth="1"/>
    <col min="9" max="9" width="20.42578125" customWidth="1"/>
    <col min="13" max="13" width="3.7109375" customWidth="1"/>
    <col min="14" max="14" width="58.140625" customWidth="1"/>
  </cols>
  <sheetData>
    <row r="1" spans="1:14" x14ac:dyDescent="0.25">
      <c r="A1" s="237" t="s">
        <v>604</v>
      </c>
      <c r="B1" s="297" t="s">
        <v>32</v>
      </c>
      <c r="C1" s="297" t="s">
        <v>605</v>
      </c>
      <c r="D1" s="297">
        <v>6</v>
      </c>
      <c r="E1" s="234" t="s">
        <v>140</v>
      </c>
      <c r="G1" s="299">
        <f>MATCH(6,A1:E1,0)</f>
        <v>4</v>
      </c>
      <c r="I1" t="e">
        <f ca="1">FTEXT(G1)</f>
        <v>#NAME?</v>
      </c>
    </row>
    <row r="2" spans="1:14" x14ac:dyDescent="0.25">
      <c r="A2" s="94" t="s">
        <v>606</v>
      </c>
      <c r="B2" s="277">
        <v>56</v>
      </c>
      <c r="C2" s="277" t="s">
        <v>607</v>
      </c>
      <c r="D2" s="277">
        <v>4</v>
      </c>
      <c r="E2" s="89" t="s">
        <v>608</v>
      </c>
      <c r="G2" s="103" t="e">
        <f>MATCH("6",A1:E1,0)</f>
        <v>#N/A</v>
      </c>
      <c r="I2" t="e">
        <f ca="1">FTEXT(G2)</f>
        <v>#NAME?</v>
      </c>
      <c r="K2" t="s">
        <v>609</v>
      </c>
      <c r="L2" s="299" t="s">
        <v>607</v>
      </c>
    </row>
    <row r="3" spans="1:14" x14ac:dyDescent="0.25">
      <c r="A3" s="94" t="s">
        <v>610</v>
      </c>
      <c r="B3" s="277" t="s">
        <v>611</v>
      </c>
      <c r="C3" s="277" t="s">
        <v>612</v>
      </c>
      <c r="D3" s="277">
        <v>7</v>
      </c>
      <c r="E3" s="89">
        <v>0</v>
      </c>
      <c r="G3" s="103">
        <f>MATCH("z",A4:E4,0)</f>
        <v>2</v>
      </c>
      <c r="I3" t="e">
        <f ca="1">FTEXT(G3)</f>
        <v>#NAME?</v>
      </c>
      <c r="K3" t="s">
        <v>613</v>
      </c>
      <c r="L3" s="103">
        <f t="array" ref="L3">MIN(IF(A1:E4=L2,ROW(A1:E4)-ROW(A1)+1))</f>
        <v>2</v>
      </c>
      <c r="N3" t="e">
        <f ca="1">FTEXT(L3)</f>
        <v>#NAME?</v>
      </c>
    </row>
    <row r="4" spans="1:14" x14ac:dyDescent="0.25">
      <c r="A4" s="87" t="s">
        <v>614</v>
      </c>
      <c r="B4" s="281" t="s">
        <v>607</v>
      </c>
      <c r="C4" s="281" t="s">
        <v>615</v>
      </c>
      <c r="D4" s="281" t="s">
        <v>610</v>
      </c>
      <c r="E4" s="82" t="s">
        <v>616</v>
      </c>
      <c r="G4" s="103">
        <f>MATCH("?",C1:C4,0)</f>
        <v>1</v>
      </c>
      <c r="I4" t="e">
        <f ca="1">FTEXT(G4)</f>
        <v>#NAME?</v>
      </c>
      <c r="K4" t="s">
        <v>617</v>
      </c>
      <c r="L4" s="102">
        <f>IF(L3=0,0,MATCH(L2,INDEX(A1:E4,L3,0),0))</f>
        <v>3</v>
      </c>
      <c r="N4" t="e">
        <f ca="1">FTEXT(L4)</f>
        <v>#NAME?</v>
      </c>
    </row>
    <row r="5" spans="1:14" x14ac:dyDescent="0.25">
      <c r="G5" s="102">
        <f>MATCH("~?",C1:C4,0)</f>
        <v>3</v>
      </c>
      <c r="I5" t="e">
        <f ca="1">FTEXT(G5)</f>
        <v>#NAME?</v>
      </c>
    </row>
    <row r="6" spans="1:14" x14ac:dyDescent="0.25">
      <c r="G6" s="300"/>
      <c r="K6" t="s">
        <v>609</v>
      </c>
      <c r="L6" s="299">
        <v>7</v>
      </c>
    </row>
    <row r="7" spans="1:14" x14ac:dyDescent="0.25">
      <c r="G7" s="299" t="str">
        <f>INDEX(A1:E4,1,2)</f>
        <v>f</v>
      </c>
      <c r="I7" t="e">
        <f ca="1">FTEXT(G7)</f>
        <v>#NAME?</v>
      </c>
      <c r="K7" t="s">
        <v>613</v>
      </c>
      <c r="L7" s="103">
        <f>SUMPRODUCT(--(A1:E4=L6)*ROW(A1:E4))-ROW(A1:E4)+1</f>
        <v>3</v>
      </c>
      <c r="N7" t="e">
        <f ca="1">FTEXT(L7)</f>
        <v>#NAME?</v>
      </c>
    </row>
    <row r="8" spans="1:14" x14ac:dyDescent="0.25">
      <c r="G8" s="103" t="str">
        <f>INDEX(A3:E3,,2)</f>
        <v>go</v>
      </c>
      <c r="I8" t="e">
        <f ca="1">FTEXT(G8)</f>
        <v>#NAME?</v>
      </c>
      <c r="K8" t="s">
        <v>617</v>
      </c>
      <c r="L8" s="102">
        <f>SUMPRODUCT(--(A1:E4=L6)*COLUMN(A1:E4))-COLUMN(A1:E4)+1</f>
        <v>4</v>
      </c>
      <c r="N8" t="e">
        <f ca="1">FTEXT(L8)</f>
        <v>#NAME?</v>
      </c>
    </row>
    <row r="9" spans="1:14" x14ac:dyDescent="0.25">
      <c r="G9" s="102">
        <f>INDEX(D1:D4,1)</f>
        <v>6</v>
      </c>
      <c r="I9" t="e">
        <f ca="1">FTEXT(G9)</f>
        <v>#NAME?</v>
      </c>
    </row>
    <row r="11" spans="1:14" x14ac:dyDescent="0.25">
      <c r="G11" s="299">
        <f t="array" ref="G11:G14">INDEX(A1:E4,,4)</f>
        <v>6</v>
      </c>
      <c r="I11" t="e">
        <f ca="1">FTEXT(G11)</f>
        <v>#NAME?</v>
      </c>
    </row>
    <row r="12" spans="1:14" x14ac:dyDescent="0.25">
      <c r="G12" s="103">
        <v>4</v>
      </c>
    </row>
    <row r="13" spans="1:14" x14ac:dyDescent="0.25">
      <c r="G13" s="103">
        <v>7</v>
      </c>
    </row>
    <row r="14" spans="1:14" x14ac:dyDescent="0.25">
      <c r="G14" s="102" t="str">
        <v>@</v>
      </c>
    </row>
    <row r="16" spans="1:14" x14ac:dyDescent="0.25">
      <c r="D16" s="290" t="str">
        <f t="array" ref="D16:G16">INDEX(A1:E4,3,)</f>
        <v>@</v>
      </c>
      <c r="E16" s="273" t="str">
        <v>go</v>
      </c>
      <c r="F16" s="273" t="str">
        <v>?</v>
      </c>
      <c r="G16" s="291">
        <v>7</v>
      </c>
      <c r="I16" t="e">
        <f ca="1">FTEXT(G16)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52"/>
  <sheetViews>
    <sheetView workbookViewId="0">
      <selection activeCell="R1" sqref="R1"/>
    </sheetView>
  </sheetViews>
  <sheetFormatPr defaultRowHeight="15" x14ac:dyDescent="0.25"/>
  <cols>
    <col min="10" max="11" width="6.28515625" customWidth="1"/>
    <col min="12" max="12" width="7" customWidth="1"/>
    <col min="13" max="13" width="18.28515625" customWidth="1"/>
    <col min="15" max="15" width="4.140625" customWidth="1"/>
    <col min="16" max="16" width="105" customWidth="1"/>
    <col min="17" max="17" width="9.140625" customWidth="1"/>
    <col min="18" max="19" width="6.28515625" customWidth="1"/>
    <col min="20" max="20" width="7" customWidth="1"/>
    <col min="21" max="21" width="18.28515625" customWidth="1"/>
  </cols>
  <sheetData>
    <row r="1" spans="1:24" x14ac:dyDescent="0.25">
      <c r="A1" s="1" t="s">
        <v>116</v>
      </c>
      <c r="J1" t="s">
        <v>258</v>
      </c>
      <c r="R1" t="s">
        <v>258</v>
      </c>
    </row>
    <row r="2" spans="1:24" ht="15" customHeight="1" x14ac:dyDescent="0.25"/>
    <row r="3" spans="1:24" x14ac:dyDescent="0.25">
      <c r="A3" s="383" t="s">
        <v>117</v>
      </c>
      <c r="B3" s="383"/>
      <c r="C3" s="383"/>
      <c r="E3" s="383" t="s">
        <v>118</v>
      </c>
      <c r="F3" s="383"/>
      <c r="G3" s="383"/>
      <c r="J3" t="s">
        <v>117</v>
      </c>
      <c r="M3" t="s">
        <v>94</v>
      </c>
      <c r="R3" t="s">
        <v>117</v>
      </c>
      <c r="U3" t="s">
        <v>94</v>
      </c>
      <c r="X3" t="s">
        <v>124</v>
      </c>
    </row>
    <row r="4" spans="1:24" ht="15" customHeight="1" x14ac:dyDescent="0.25">
      <c r="M4" s="162"/>
      <c r="N4" s="162"/>
      <c r="O4" s="8"/>
      <c r="P4" s="8"/>
      <c r="U4" s="162"/>
      <c r="V4" s="162"/>
    </row>
    <row r="5" spans="1:24" x14ac:dyDescent="0.25">
      <c r="A5" s="273" t="s">
        <v>119</v>
      </c>
      <c r="B5" s="273" t="s">
        <v>120</v>
      </c>
      <c r="C5" s="273" t="s">
        <v>121</v>
      </c>
      <c r="E5" s="273" t="str">
        <f>A5</f>
        <v>Score</v>
      </c>
      <c r="F5" s="273" t="s">
        <v>122</v>
      </c>
      <c r="G5" s="273" t="s">
        <v>87</v>
      </c>
      <c r="J5" s="272" t="s">
        <v>119</v>
      </c>
      <c r="K5" s="272" t="s">
        <v>120</v>
      </c>
      <c r="M5" t="s">
        <v>75</v>
      </c>
      <c r="N5">
        <f>N16/N17</f>
        <v>5.5</v>
      </c>
      <c r="P5" s="22" t="s">
        <v>618</v>
      </c>
      <c r="R5" s="273" t="s">
        <v>119</v>
      </c>
      <c r="S5" s="273" t="s">
        <v>120</v>
      </c>
      <c r="U5" t="s">
        <v>75</v>
      </c>
      <c r="V5">
        <f>V16/V17</f>
        <v>5.5</v>
      </c>
      <c r="X5" s="301" t="e">
        <f t="array" aca="1" ref="X5:X19" ca="1">FREQ2RAW(R6:R12,S6:S12)</f>
        <v>#NAME?</v>
      </c>
    </row>
    <row r="6" spans="1:24" x14ac:dyDescent="0.25">
      <c r="A6" s="304">
        <v>5</v>
      </c>
      <c r="B6" s="277">
        <v>1</v>
      </c>
      <c r="C6" s="277">
        <f>B6</f>
        <v>1</v>
      </c>
      <c r="E6" s="304">
        <f>A6</f>
        <v>5</v>
      </c>
      <c r="F6" s="277">
        <v>1</v>
      </c>
      <c r="G6" s="277">
        <f>B6-1</f>
        <v>0</v>
      </c>
      <c r="J6" s="304">
        <v>5</v>
      </c>
      <c r="K6" s="277">
        <v>1</v>
      </c>
      <c r="M6" t="s">
        <v>76</v>
      </c>
      <c r="N6">
        <f>N9/SQRT(N17)</f>
        <v>7.3029674334022132E-2</v>
      </c>
      <c r="P6" s="22" t="s">
        <v>619</v>
      </c>
      <c r="R6" s="304">
        <v>5</v>
      </c>
      <c r="S6" s="277">
        <v>1</v>
      </c>
      <c r="U6" t="s">
        <v>76</v>
      </c>
      <c r="V6">
        <f>V9/SQRT(V17)</f>
        <v>7.3029674334022132E-2</v>
      </c>
      <c r="X6" s="302" t="e">
        <f ca="1"/>
        <v>#NAME?</v>
      </c>
    </row>
    <row r="7" spans="1:24" x14ac:dyDescent="0.25">
      <c r="A7" s="304">
        <v>5.0999999999999996</v>
      </c>
      <c r="B7" s="277">
        <v>1</v>
      </c>
      <c r="C7" s="277">
        <f t="shared" ref="C7:C12" si="0">B7+C6</f>
        <v>2</v>
      </c>
      <c r="E7" s="304">
        <f t="shared" ref="E7:E20" si="1">IF(G6=0,INDEX($A$27:$A$33,F6+1),E6)</f>
        <v>5.0999999999999996</v>
      </c>
      <c r="F7" s="277">
        <f>IF(G6=0,F6+1,F6)</f>
        <v>2</v>
      </c>
      <c r="G7" s="277">
        <f t="shared" ref="G7:G20" si="2">IF(G6=0,INDEX($B$27:$B$33,F7)-1,G6-1)</f>
        <v>0</v>
      </c>
      <c r="J7" s="304">
        <v>5.0999999999999996</v>
      </c>
      <c r="K7" s="277">
        <v>1</v>
      </c>
      <c r="M7" t="s">
        <v>77</v>
      </c>
      <c r="N7" t="e">
        <f ca="1">MEDIAN(FREQ2RAW(J6:J12,K6:K12))</f>
        <v>#NAME?</v>
      </c>
      <c r="P7" s="22" t="s">
        <v>620</v>
      </c>
      <c r="R7" s="304">
        <v>5.0999999999999996</v>
      </c>
      <c r="S7" s="277">
        <v>1</v>
      </c>
      <c r="U7" t="s">
        <v>77</v>
      </c>
      <c r="V7" t="e">
        <f ca="1">MEDIAN(FREQ2RAW(R6:R12,S6:S12))</f>
        <v>#NAME?</v>
      </c>
      <c r="X7" s="302" t="e">
        <f ca="1"/>
        <v>#NAME?</v>
      </c>
    </row>
    <row r="8" spans="1:24" x14ac:dyDescent="0.25">
      <c r="A8" s="304">
        <v>5.2</v>
      </c>
      <c r="B8" s="277">
        <v>3</v>
      </c>
      <c r="C8" s="277">
        <f t="shared" si="0"/>
        <v>5</v>
      </c>
      <c r="E8" s="304">
        <f t="shared" si="1"/>
        <v>5.2</v>
      </c>
      <c r="F8" s="277">
        <f t="shared" ref="F8:F20" si="3">IF(G7=0,F7+1,F7)</f>
        <v>3</v>
      </c>
      <c r="G8" s="277">
        <f t="shared" si="2"/>
        <v>2</v>
      </c>
      <c r="J8" s="304">
        <v>5.2</v>
      </c>
      <c r="K8" s="277">
        <v>3</v>
      </c>
      <c r="M8" t="s">
        <v>78</v>
      </c>
      <c r="N8">
        <f>IF(COUNTIF(K6:K12,MAX(K6:K12))&gt;1,#N/A,SUMIF(K6:K12,MAX(K6:K12),J6:J12))</f>
        <v>5.7</v>
      </c>
      <c r="P8" s="22" t="s">
        <v>621</v>
      </c>
      <c r="R8" s="304">
        <v>5.2</v>
      </c>
      <c r="S8" s="277">
        <v>3</v>
      </c>
      <c r="U8" t="s">
        <v>78</v>
      </c>
      <c r="V8">
        <f>IF(COUNTIF(S6:S12,MAX(S6:S12))&gt;1,#N/A,SUMIF(S6:S12,MAX(S6:S12),R6:R12))</f>
        <v>5.7</v>
      </c>
      <c r="X8" s="302" t="e">
        <f ca="1"/>
        <v>#NAME?</v>
      </c>
    </row>
    <row r="9" spans="1:24" x14ac:dyDescent="0.25">
      <c r="A9" s="304">
        <v>5.5</v>
      </c>
      <c r="B9" s="277">
        <v>2</v>
      </c>
      <c r="C9" s="277">
        <f t="shared" si="0"/>
        <v>7</v>
      </c>
      <c r="E9" s="304">
        <f t="shared" si="1"/>
        <v>5.2</v>
      </c>
      <c r="F9" s="277">
        <f t="shared" si="3"/>
        <v>3</v>
      </c>
      <c r="G9" s="277">
        <f t="shared" si="2"/>
        <v>1</v>
      </c>
      <c r="J9" s="304">
        <v>5.5</v>
      </c>
      <c r="K9" s="277">
        <v>2</v>
      </c>
      <c r="M9" t="s">
        <v>79</v>
      </c>
      <c r="N9">
        <f>SQRT(N10)</f>
        <v>0.28284271247461895</v>
      </c>
      <c r="P9" s="22" t="s">
        <v>622</v>
      </c>
      <c r="R9" s="304">
        <v>5.5</v>
      </c>
      <c r="S9" s="277">
        <v>2</v>
      </c>
      <c r="U9" t="s">
        <v>79</v>
      </c>
      <c r="V9">
        <f>SQRT(V10)</f>
        <v>0.28284271247461895</v>
      </c>
      <c r="X9" s="302" t="e">
        <f ca="1"/>
        <v>#NAME?</v>
      </c>
    </row>
    <row r="10" spans="1:24" x14ac:dyDescent="0.25">
      <c r="A10" s="304">
        <v>5.6</v>
      </c>
      <c r="B10" s="277">
        <v>1</v>
      </c>
      <c r="C10" s="277">
        <f t="shared" si="0"/>
        <v>8</v>
      </c>
      <c r="E10" s="304">
        <f t="shared" si="1"/>
        <v>5.2</v>
      </c>
      <c r="F10" s="277">
        <f t="shared" si="3"/>
        <v>3</v>
      </c>
      <c r="G10" s="277">
        <f t="shared" si="2"/>
        <v>0</v>
      </c>
      <c r="J10" s="304">
        <v>5.6</v>
      </c>
      <c r="K10" s="277">
        <v>1</v>
      </c>
      <c r="M10" t="s">
        <v>80</v>
      </c>
      <c r="N10">
        <f>SUMPRODUCT((J6:J12-N5)^2,K6:K12)/(N17-1)</f>
        <v>7.9999999999999974E-2</v>
      </c>
      <c r="P10" s="22" t="s">
        <v>623</v>
      </c>
      <c r="R10" s="304">
        <v>5.6</v>
      </c>
      <c r="S10" s="277">
        <v>1</v>
      </c>
      <c r="U10" t="s">
        <v>80</v>
      </c>
      <c r="V10">
        <f>SUMPRODUCT((R6:R12-V5)^2,S6:S12)/(V17-1)</f>
        <v>7.9999999999999974E-2</v>
      </c>
      <c r="X10" s="302" t="e">
        <f ca="1"/>
        <v>#NAME?</v>
      </c>
    </row>
    <row r="11" spans="1:24" x14ac:dyDescent="0.25">
      <c r="A11" s="304">
        <v>5.7</v>
      </c>
      <c r="B11" s="277">
        <v>4</v>
      </c>
      <c r="C11" s="277">
        <f t="shared" si="0"/>
        <v>12</v>
      </c>
      <c r="E11" s="304">
        <f t="shared" si="1"/>
        <v>5.5</v>
      </c>
      <c r="F11" s="277">
        <f t="shared" si="3"/>
        <v>4</v>
      </c>
      <c r="G11" s="277">
        <f t="shared" si="2"/>
        <v>1</v>
      </c>
      <c r="J11" s="304">
        <v>5.7</v>
      </c>
      <c r="K11" s="277">
        <v>4</v>
      </c>
      <c r="M11" t="s">
        <v>81</v>
      </c>
      <c r="N11">
        <f>N17*(N17+1)*SUMPRODUCT((J6:J12-N5)^4,K6:K12)/((N17-1)*(N17-2)*(N17-3)*N10^2)-3*(N17-1)^2/((N17-2)*(N17-3))</f>
        <v>-1.3104395604395593</v>
      </c>
      <c r="P11" s="22" t="s">
        <v>624</v>
      </c>
      <c r="R11" s="304">
        <v>5.7</v>
      </c>
      <c r="S11" s="277">
        <v>4</v>
      </c>
      <c r="U11" t="s">
        <v>81</v>
      </c>
      <c r="V11">
        <f>V17*(V17+1)*SUMPRODUCT((R6:R12-V5)^4,S6:S12)/((V17-1)*(V17-2)*(V17-3)*V10^2)-3*(V17-1)^2/((V17-2)*(V17-3))</f>
        <v>-1.3104395604395593</v>
      </c>
      <c r="X11" s="302" t="e">
        <f ca="1"/>
        <v>#NAME?</v>
      </c>
    </row>
    <row r="12" spans="1:24" x14ac:dyDescent="0.25">
      <c r="A12" s="280">
        <v>5.8</v>
      </c>
      <c r="B12" s="281">
        <v>3</v>
      </c>
      <c r="C12" s="281">
        <f t="shared" si="0"/>
        <v>15</v>
      </c>
      <c r="E12" s="304">
        <f t="shared" si="1"/>
        <v>5.5</v>
      </c>
      <c r="F12" s="277">
        <f t="shared" si="3"/>
        <v>4</v>
      </c>
      <c r="G12" s="277">
        <f t="shared" si="2"/>
        <v>0</v>
      </c>
      <c r="J12" s="280">
        <v>5.8</v>
      </c>
      <c r="K12" s="281">
        <v>3</v>
      </c>
      <c r="M12" t="s">
        <v>82</v>
      </c>
      <c r="N12">
        <f>N17*SUMPRODUCT((J6:J12-N5)^3,K6:K12)/((N17-1)*(N17-2)*N9^3)</f>
        <v>-0.56821080631061915</v>
      </c>
      <c r="P12" s="22" t="s">
        <v>625</v>
      </c>
      <c r="R12" s="280">
        <v>5.8</v>
      </c>
      <c r="S12" s="281">
        <v>3</v>
      </c>
      <c r="U12" t="s">
        <v>82</v>
      </c>
      <c r="V12">
        <f>V17*SUMPRODUCT((R6:R12-V5)^3,S6:S12)/((V17-1)*(V17-2)*V9^3)</f>
        <v>-0.56821080631061915</v>
      </c>
      <c r="X12" s="302" t="e">
        <f ca="1"/>
        <v>#NAME?</v>
      </c>
    </row>
    <row r="13" spans="1:24" x14ac:dyDescent="0.25">
      <c r="E13" s="304">
        <f t="shared" si="1"/>
        <v>5.6</v>
      </c>
      <c r="F13" s="277">
        <f t="shared" si="3"/>
        <v>5</v>
      </c>
      <c r="G13" s="277">
        <f t="shared" si="2"/>
        <v>0</v>
      </c>
      <c r="M13" t="s">
        <v>83</v>
      </c>
      <c r="N13" s="48">
        <f>N14-N15</f>
        <v>0.79999999999999982</v>
      </c>
      <c r="P13" s="22" t="s">
        <v>626</v>
      </c>
      <c r="U13" t="s">
        <v>83</v>
      </c>
      <c r="V13" s="48">
        <f>V14-V15</f>
        <v>0.79999999999999982</v>
      </c>
      <c r="X13" s="302" t="e">
        <f ca="1"/>
        <v>#NAME?</v>
      </c>
    </row>
    <row r="14" spans="1:24" x14ac:dyDescent="0.25">
      <c r="E14" s="304">
        <f t="shared" si="1"/>
        <v>5.7</v>
      </c>
      <c r="F14" s="277">
        <f t="shared" si="3"/>
        <v>6</v>
      </c>
      <c r="G14" s="277">
        <f t="shared" si="2"/>
        <v>3</v>
      </c>
      <c r="M14" t="s">
        <v>85</v>
      </c>
      <c r="N14" s="48">
        <f>MAX(J6:J12)</f>
        <v>5.8</v>
      </c>
      <c r="O14" s="48"/>
      <c r="P14" s="305" t="s">
        <v>627</v>
      </c>
      <c r="U14" t="s">
        <v>85</v>
      </c>
      <c r="V14" s="48">
        <f>MAX(R6:R12)</f>
        <v>5.8</v>
      </c>
      <c r="X14" s="302" t="e">
        <f ca="1"/>
        <v>#NAME?</v>
      </c>
    </row>
    <row r="15" spans="1:24" x14ac:dyDescent="0.25">
      <c r="E15" s="304">
        <f t="shared" si="1"/>
        <v>5.7</v>
      </c>
      <c r="F15" s="277">
        <f t="shared" si="3"/>
        <v>6</v>
      </c>
      <c r="G15" s="277">
        <f t="shared" si="2"/>
        <v>2</v>
      </c>
      <c r="M15" t="s">
        <v>84</v>
      </c>
      <c r="N15" s="48">
        <f>MIN(J6:J12)</f>
        <v>5</v>
      </c>
      <c r="O15" s="48"/>
      <c r="P15" s="305" t="s">
        <v>628</v>
      </c>
      <c r="U15" t="s">
        <v>84</v>
      </c>
      <c r="V15" s="48">
        <f>MIN(R6:R12)</f>
        <v>5</v>
      </c>
      <c r="X15" s="302" t="e">
        <f ca="1"/>
        <v>#NAME?</v>
      </c>
    </row>
    <row r="16" spans="1:24" x14ac:dyDescent="0.25">
      <c r="E16" s="304">
        <f t="shared" si="1"/>
        <v>5.7</v>
      </c>
      <c r="F16" s="277">
        <f t="shared" si="3"/>
        <v>6</v>
      </c>
      <c r="G16" s="277">
        <f t="shared" si="2"/>
        <v>1</v>
      </c>
      <c r="M16" t="s">
        <v>86</v>
      </c>
      <c r="N16">
        <f>SUMPRODUCT(J6:J12,K6:K12)</f>
        <v>82.5</v>
      </c>
      <c r="P16" s="22" t="s">
        <v>629</v>
      </c>
      <c r="U16" t="s">
        <v>86</v>
      </c>
      <c r="V16">
        <f>SUMPRODUCT(R6:R12,S6:S12)</f>
        <v>82.5</v>
      </c>
      <c r="X16" s="302" t="e">
        <f ca="1"/>
        <v>#NAME?</v>
      </c>
    </row>
    <row r="17" spans="1:24" x14ac:dyDescent="0.25">
      <c r="E17" s="304">
        <f t="shared" si="1"/>
        <v>5.7</v>
      </c>
      <c r="F17" s="277">
        <f t="shared" si="3"/>
        <v>6</v>
      </c>
      <c r="G17" s="277">
        <f t="shared" si="2"/>
        <v>0</v>
      </c>
      <c r="M17" t="s">
        <v>87</v>
      </c>
      <c r="N17">
        <f>SUM(K6:K12)</f>
        <v>15</v>
      </c>
      <c r="P17" s="22" t="s">
        <v>630</v>
      </c>
      <c r="U17" t="s">
        <v>87</v>
      </c>
      <c r="V17">
        <f>SUM(S6:S12)</f>
        <v>15</v>
      </c>
      <c r="X17" s="302" t="e">
        <f ca="1"/>
        <v>#NAME?</v>
      </c>
    </row>
    <row r="18" spans="1:24" x14ac:dyDescent="0.25">
      <c r="E18" s="304">
        <f t="shared" si="1"/>
        <v>5.8</v>
      </c>
      <c r="F18" s="277">
        <f t="shared" si="3"/>
        <v>7</v>
      </c>
      <c r="G18" s="277">
        <f t="shared" si="2"/>
        <v>2</v>
      </c>
      <c r="M18" t="s">
        <v>33</v>
      </c>
      <c r="N18">
        <f t="array" ref="N18">PRODUCT(J6:J12^K6:K12)^(1/N17)</f>
        <v>5.493086880815456</v>
      </c>
      <c r="P18" s="22" t="s">
        <v>631</v>
      </c>
      <c r="U18" t="s">
        <v>33</v>
      </c>
      <c r="V18">
        <f t="array" ref="V18">PRODUCT(R6:R12^S6:S12)^(1/V17)</f>
        <v>5.493086880815456</v>
      </c>
      <c r="X18" s="302" t="e">
        <f ca="1"/>
        <v>#NAME?</v>
      </c>
    </row>
    <row r="19" spans="1:24" x14ac:dyDescent="0.25">
      <c r="E19" s="304">
        <f t="shared" si="1"/>
        <v>5.8</v>
      </c>
      <c r="F19" s="277">
        <f t="shared" si="3"/>
        <v>7</v>
      </c>
      <c r="G19" s="277">
        <f t="shared" si="2"/>
        <v>1</v>
      </c>
      <c r="M19" t="s">
        <v>90</v>
      </c>
      <c r="N19">
        <f>N17/SUMPRODUCT(1/J6:J12*K6:K12)</f>
        <v>5.4860552296314848</v>
      </c>
      <c r="P19" s="22" t="s">
        <v>632</v>
      </c>
      <c r="U19" t="s">
        <v>90</v>
      </c>
      <c r="V19">
        <f>V17/SUMPRODUCT(1/R6:R12*S6:S12)</f>
        <v>5.4860552296314848</v>
      </c>
      <c r="X19" s="303" t="e">
        <f ca="1"/>
        <v>#NAME?</v>
      </c>
    </row>
    <row r="20" spans="1:24" x14ac:dyDescent="0.25">
      <c r="E20" s="280">
        <f t="shared" si="1"/>
        <v>5.8</v>
      </c>
      <c r="F20" s="281">
        <f t="shared" si="3"/>
        <v>7</v>
      </c>
      <c r="G20" s="281">
        <f t="shared" si="2"/>
        <v>0</v>
      </c>
      <c r="M20" t="s">
        <v>91</v>
      </c>
      <c r="N20">
        <f>SUMPRODUCT(ABS(J6:J12-N5),K6:K12)/N17</f>
        <v>0.23999999999999996</v>
      </c>
      <c r="P20" s="22" t="s">
        <v>633</v>
      </c>
      <c r="U20" t="s">
        <v>91</v>
      </c>
      <c r="V20">
        <f>SUMPRODUCT(ABS(R6:R12-V5),S6:S12)/V17</f>
        <v>0.23999999999999996</v>
      </c>
    </row>
    <row r="21" spans="1:24" x14ac:dyDescent="0.25">
      <c r="M21" t="s">
        <v>92</v>
      </c>
      <c r="N21" t="e">
        <f ca="1">MAD(FREQ2RAW(J6:J12,K6:K12))</f>
        <v>#NAME?</v>
      </c>
      <c r="P21" s="22" t="s">
        <v>634</v>
      </c>
      <c r="U21" t="s">
        <v>92</v>
      </c>
      <c r="V21" t="e">
        <f ca="1">MAD(FREQ2RAW(R6:R12,S6:S12))</f>
        <v>#NAME?</v>
      </c>
    </row>
    <row r="22" spans="1:24" x14ac:dyDescent="0.25">
      <c r="A22" s="1" t="s">
        <v>123</v>
      </c>
      <c r="M22" s="162" t="s">
        <v>93</v>
      </c>
      <c r="N22" s="162" t="e">
        <f ca="1">IQR(FREQ2RAW(J6:J12,K6:K12))</f>
        <v>#NAME?</v>
      </c>
      <c r="P22" s="22" t="s">
        <v>635</v>
      </c>
      <c r="U22" s="162" t="s">
        <v>93</v>
      </c>
      <c r="V22" s="162" t="e">
        <f ca="1">IQR(FREQ2RAW(R6:R12,S6:S12))</f>
        <v>#NAME?</v>
      </c>
    </row>
    <row r="24" spans="1:24" x14ac:dyDescent="0.25">
      <c r="A24" s="383" t="s">
        <v>117</v>
      </c>
      <c r="B24" s="383"/>
      <c r="C24" s="383"/>
    </row>
    <row r="26" spans="1:24" x14ac:dyDescent="0.25">
      <c r="A26" s="288" t="s">
        <v>119</v>
      </c>
      <c r="B26" s="288" t="s">
        <v>120</v>
      </c>
      <c r="C26" s="288" t="s">
        <v>121</v>
      </c>
    </row>
    <row r="27" spans="1:24" x14ac:dyDescent="0.25">
      <c r="A27" s="59">
        <v>5</v>
      </c>
      <c r="B27" s="8">
        <v>1</v>
      </c>
      <c r="C27" s="8">
        <f>B27</f>
        <v>1</v>
      </c>
    </row>
    <row r="28" spans="1:24" x14ac:dyDescent="0.25">
      <c r="A28" s="59">
        <v>5.0999999999999996</v>
      </c>
      <c r="B28" s="8">
        <v>1</v>
      </c>
      <c r="C28" s="8">
        <f t="shared" ref="C28:C33" si="4">B28+C27</f>
        <v>2</v>
      </c>
    </row>
    <row r="29" spans="1:24" x14ac:dyDescent="0.25">
      <c r="A29" s="59">
        <v>5.2</v>
      </c>
      <c r="B29" s="8">
        <v>3</v>
      </c>
      <c r="C29" s="8">
        <f t="shared" si="4"/>
        <v>5</v>
      </c>
    </row>
    <row r="30" spans="1:24" x14ac:dyDescent="0.25">
      <c r="A30" s="59">
        <v>5.5</v>
      </c>
      <c r="B30" s="8">
        <v>2</v>
      </c>
      <c r="C30" s="8">
        <f t="shared" si="4"/>
        <v>7</v>
      </c>
    </row>
    <row r="31" spans="1:24" x14ac:dyDescent="0.25">
      <c r="A31" s="59">
        <v>5.6</v>
      </c>
      <c r="B31" s="8">
        <v>1</v>
      </c>
      <c r="C31" s="8">
        <f t="shared" si="4"/>
        <v>8</v>
      </c>
    </row>
    <row r="32" spans="1:24" x14ac:dyDescent="0.25">
      <c r="A32" s="59">
        <v>5.7</v>
      </c>
      <c r="B32" s="8">
        <v>4</v>
      </c>
      <c r="C32" s="8">
        <f t="shared" si="4"/>
        <v>12</v>
      </c>
    </row>
    <row r="33" spans="1:3" x14ac:dyDescent="0.25">
      <c r="A33" s="224">
        <v>5.8</v>
      </c>
      <c r="B33" s="162">
        <v>3</v>
      </c>
      <c r="C33" s="162">
        <f t="shared" si="4"/>
        <v>15</v>
      </c>
    </row>
    <row r="35" spans="1:3" x14ac:dyDescent="0.25">
      <c r="A35" s="383" t="s">
        <v>118</v>
      </c>
      <c r="B35" s="383"/>
      <c r="C35" s="383"/>
    </row>
    <row r="37" spans="1:3" x14ac:dyDescent="0.25">
      <c r="A37" s="288" t="str">
        <f>A26</f>
        <v>Score</v>
      </c>
      <c r="B37" s="288" t="s">
        <v>122</v>
      </c>
      <c r="C37" s="288" t="s">
        <v>87</v>
      </c>
    </row>
    <row r="38" spans="1:3" x14ac:dyDescent="0.25">
      <c r="A38" s="59">
        <f>A27</f>
        <v>5</v>
      </c>
      <c r="B38" s="8">
        <f>ROW(A27)</f>
        <v>27</v>
      </c>
      <c r="C38" s="8">
        <f>B27-1</f>
        <v>0</v>
      </c>
    </row>
    <row r="39" spans="1:3" x14ac:dyDescent="0.25">
      <c r="A39" s="59">
        <f t="shared" ref="A39:A52" ca="1" si="5">INDIRECT("R"&amp;B39&amp;"C"&amp;COLUMN(A39),FALSE)</f>
        <v>5.0999999999999996</v>
      </c>
      <c r="B39" s="8">
        <f t="shared" ref="B39:B52" si="6">IF(C38=0,B38+1,B38)</f>
        <v>28</v>
      </c>
      <c r="C39" s="8">
        <f t="shared" ref="C39:C52" ca="1" si="7">IF(C38=0,INDIRECT("R"&amp;B39&amp;"C"&amp;COLUMN(B39),FALSE)-1,C38-1)</f>
        <v>0</v>
      </c>
    </row>
    <row r="40" spans="1:3" x14ac:dyDescent="0.25">
      <c r="A40" s="59">
        <f t="shared" ca="1" si="5"/>
        <v>5.2</v>
      </c>
      <c r="B40" s="8">
        <f t="shared" ca="1" si="6"/>
        <v>29</v>
      </c>
      <c r="C40" s="8">
        <f t="shared" ca="1" si="7"/>
        <v>2</v>
      </c>
    </row>
    <row r="41" spans="1:3" x14ac:dyDescent="0.25">
      <c r="A41" s="59">
        <f t="shared" ca="1" si="5"/>
        <v>5.2</v>
      </c>
      <c r="B41" s="8">
        <f t="shared" ca="1" si="6"/>
        <v>29</v>
      </c>
      <c r="C41" s="8">
        <f t="shared" ca="1" si="7"/>
        <v>1</v>
      </c>
    </row>
    <row r="42" spans="1:3" x14ac:dyDescent="0.25">
      <c r="A42" s="59">
        <f t="shared" ca="1" si="5"/>
        <v>5.2</v>
      </c>
      <c r="B42" s="8">
        <f t="shared" ca="1" si="6"/>
        <v>29</v>
      </c>
      <c r="C42" s="8">
        <f t="shared" ca="1" si="7"/>
        <v>0</v>
      </c>
    </row>
    <row r="43" spans="1:3" x14ac:dyDescent="0.25">
      <c r="A43" s="59">
        <f t="shared" ca="1" si="5"/>
        <v>5.5</v>
      </c>
      <c r="B43" s="8">
        <f t="shared" ca="1" si="6"/>
        <v>30</v>
      </c>
      <c r="C43" s="8">
        <f t="shared" ca="1" si="7"/>
        <v>1</v>
      </c>
    </row>
    <row r="44" spans="1:3" x14ac:dyDescent="0.25">
      <c r="A44" s="59">
        <f t="shared" ca="1" si="5"/>
        <v>5.5</v>
      </c>
      <c r="B44" s="8">
        <f t="shared" ca="1" si="6"/>
        <v>30</v>
      </c>
      <c r="C44" s="8">
        <f t="shared" ca="1" si="7"/>
        <v>0</v>
      </c>
    </row>
    <row r="45" spans="1:3" x14ac:dyDescent="0.25">
      <c r="A45" s="59">
        <f t="shared" ca="1" si="5"/>
        <v>5.6</v>
      </c>
      <c r="B45" s="8">
        <f t="shared" ca="1" si="6"/>
        <v>31</v>
      </c>
      <c r="C45" s="8">
        <f t="shared" ca="1" si="7"/>
        <v>0</v>
      </c>
    </row>
    <row r="46" spans="1:3" x14ac:dyDescent="0.25">
      <c r="A46" s="59">
        <f t="shared" ca="1" si="5"/>
        <v>5.7</v>
      </c>
      <c r="B46" s="8">
        <f t="shared" ca="1" si="6"/>
        <v>32</v>
      </c>
      <c r="C46" s="8">
        <f t="shared" ca="1" si="7"/>
        <v>3</v>
      </c>
    </row>
    <row r="47" spans="1:3" x14ac:dyDescent="0.25">
      <c r="A47" s="59">
        <f t="shared" ca="1" si="5"/>
        <v>5.7</v>
      </c>
      <c r="B47" s="8">
        <f t="shared" ca="1" si="6"/>
        <v>32</v>
      </c>
      <c r="C47" s="8">
        <f t="shared" ca="1" si="7"/>
        <v>2</v>
      </c>
    </row>
    <row r="48" spans="1:3" x14ac:dyDescent="0.25">
      <c r="A48" s="59">
        <f t="shared" ca="1" si="5"/>
        <v>5.7</v>
      </c>
      <c r="B48" s="8">
        <f t="shared" ca="1" si="6"/>
        <v>32</v>
      </c>
      <c r="C48" s="8">
        <f t="shared" ca="1" si="7"/>
        <v>1</v>
      </c>
    </row>
    <row r="49" spans="1:3" x14ac:dyDescent="0.25">
      <c r="A49" s="59">
        <f t="shared" ca="1" si="5"/>
        <v>5.7</v>
      </c>
      <c r="B49" s="8">
        <f t="shared" ca="1" si="6"/>
        <v>32</v>
      </c>
      <c r="C49" s="8">
        <f t="shared" ca="1" si="7"/>
        <v>0</v>
      </c>
    </row>
    <row r="50" spans="1:3" x14ac:dyDescent="0.25">
      <c r="A50" s="59">
        <f t="shared" ca="1" si="5"/>
        <v>5.8</v>
      </c>
      <c r="B50" s="8">
        <f t="shared" ca="1" si="6"/>
        <v>33</v>
      </c>
      <c r="C50" s="8">
        <f t="shared" ca="1" si="7"/>
        <v>2</v>
      </c>
    </row>
    <row r="51" spans="1:3" x14ac:dyDescent="0.25">
      <c r="A51" s="59">
        <f t="shared" ca="1" si="5"/>
        <v>5.8</v>
      </c>
      <c r="B51" s="8">
        <f t="shared" ca="1" si="6"/>
        <v>33</v>
      </c>
      <c r="C51" s="8">
        <f t="shared" ca="1" si="7"/>
        <v>1</v>
      </c>
    </row>
    <row r="52" spans="1:3" x14ac:dyDescent="0.25">
      <c r="A52" s="224">
        <f t="shared" ca="1" si="5"/>
        <v>5.8</v>
      </c>
      <c r="B52" s="162">
        <f t="shared" ca="1" si="6"/>
        <v>33</v>
      </c>
      <c r="C52" s="162">
        <f t="shared" ca="1" si="7"/>
        <v>0</v>
      </c>
    </row>
  </sheetData>
  <mergeCells count="4">
    <mergeCell ref="A3:C3"/>
    <mergeCell ref="E3:G3"/>
    <mergeCell ref="A24:C24"/>
    <mergeCell ref="A35:C3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X53"/>
  <sheetViews>
    <sheetView workbookViewId="0"/>
  </sheetViews>
  <sheetFormatPr defaultRowHeight="15" x14ac:dyDescent="0.25"/>
  <sheetData>
    <row r="1" spans="1:24" x14ac:dyDescent="0.25">
      <c r="A1" s="1" t="s">
        <v>553</v>
      </c>
      <c r="H1" t="s">
        <v>258</v>
      </c>
      <c r="V1" t="s">
        <v>636</v>
      </c>
    </row>
    <row r="3" spans="1:24" x14ac:dyDescent="0.25">
      <c r="A3" t="s">
        <v>124</v>
      </c>
      <c r="C3" s="383" t="s">
        <v>117</v>
      </c>
      <c r="D3" s="383"/>
      <c r="E3" s="383"/>
      <c r="H3" s="306">
        <v>5</v>
      </c>
      <c r="J3" t="s">
        <v>117</v>
      </c>
      <c r="V3" s="281" t="s">
        <v>248</v>
      </c>
      <c r="W3" s="281" t="s">
        <v>99</v>
      </c>
      <c r="X3" s="281" t="s">
        <v>193</v>
      </c>
    </row>
    <row r="4" spans="1:24" x14ac:dyDescent="0.25">
      <c r="H4" s="307">
        <v>5.0999999999999996</v>
      </c>
      <c r="V4" s="308" t="e">
        <f t="array" aca="1" ref="V4:X11" ca="1">FREQTABLE(H3:H17)</f>
        <v>#NAME?</v>
      </c>
      <c r="W4" s="178" t="e">
        <f ca="1"/>
        <v>#NAME?</v>
      </c>
      <c r="X4" s="309" t="e">
        <f ca="1"/>
        <v>#NAME?</v>
      </c>
    </row>
    <row r="5" spans="1:24" x14ac:dyDescent="0.25">
      <c r="A5" s="310" t="s">
        <v>119</v>
      </c>
      <c r="C5" s="311" t="s">
        <v>119</v>
      </c>
      <c r="D5" s="288" t="s">
        <v>120</v>
      </c>
      <c r="E5" s="312" t="s">
        <v>121</v>
      </c>
      <c r="H5" s="307">
        <v>5.2</v>
      </c>
      <c r="J5" s="281" t="s">
        <v>248</v>
      </c>
      <c r="K5" s="281" t="s">
        <v>99</v>
      </c>
      <c r="L5" s="281" t="s">
        <v>193</v>
      </c>
      <c r="V5" s="92" t="e">
        <f ca="1"/>
        <v>#NAME?</v>
      </c>
      <c r="W5" s="8" t="e">
        <f ca="1"/>
        <v>#NAME?</v>
      </c>
      <c r="X5" s="93" t="e">
        <f ca="1"/>
        <v>#NAME?</v>
      </c>
    </row>
    <row r="6" spans="1:24" x14ac:dyDescent="0.25">
      <c r="A6" s="307">
        <v>5</v>
      </c>
      <c r="C6" s="118">
        <v>5</v>
      </c>
      <c r="D6" s="8">
        <f t="shared" ref="D6:D12" si="0">COUNTIF($A$6:$A$20,C6)</f>
        <v>1</v>
      </c>
      <c r="E6" s="93">
        <f>D6</f>
        <v>1</v>
      </c>
      <c r="H6" s="307">
        <v>5.2</v>
      </c>
      <c r="J6" t="e">
        <f t="array" aca="1" ref="J6:J12" ca="1">NODUPES(H3:H17)</f>
        <v>#NAME?</v>
      </c>
      <c r="K6">
        <f ca="1">COUNTIF($H$3:$H$17,J6)</f>
        <v>0</v>
      </c>
      <c r="L6" t="e">
        <f ca="1">K6/$K$13</f>
        <v>#DIV/0!</v>
      </c>
      <c r="V6" s="92" t="e">
        <f ca="1"/>
        <v>#NAME?</v>
      </c>
      <c r="W6" s="8" t="e">
        <f ca="1"/>
        <v>#NAME?</v>
      </c>
      <c r="X6" s="93" t="e">
        <f ca="1"/>
        <v>#NAME?</v>
      </c>
    </row>
    <row r="7" spans="1:24" x14ac:dyDescent="0.25">
      <c r="A7" s="307">
        <v>5.0999999999999996</v>
      </c>
      <c r="C7" s="118">
        <v>5.0999999999999996</v>
      </c>
      <c r="D7" s="8">
        <f t="shared" si="0"/>
        <v>1</v>
      </c>
      <c r="E7" s="93">
        <f t="shared" ref="E7:E12" si="1">E6+D7</f>
        <v>2</v>
      </c>
      <c r="H7" s="307">
        <v>5.2</v>
      </c>
      <c r="J7" t="e">
        <f ca="1"/>
        <v>#NAME?</v>
      </c>
      <c r="K7">
        <f t="shared" ref="K7:K12" ca="1" si="2">COUNTIF($H$3:$H$17,J7)</f>
        <v>0</v>
      </c>
      <c r="L7" t="e">
        <f t="shared" ref="L7:L12" ca="1" si="3">K7/$K$13</f>
        <v>#DIV/0!</v>
      </c>
      <c r="V7" s="92" t="e">
        <f ca="1"/>
        <v>#NAME?</v>
      </c>
      <c r="W7" s="8" t="e">
        <f ca="1"/>
        <v>#NAME?</v>
      </c>
      <c r="X7" s="93" t="e">
        <f ca="1"/>
        <v>#NAME?</v>
      </c>
    </row>
    <row r="8" spans="1:24" x14ac:dyDescent="0.25">
      <c r="A8" s="307">
        <v>5.2</v>
      </c>
      <c r="C8" s="118">
        <v>5.2</v>
      </c>
      <c r="D8" s="8">
        <f t="shared" si="0"/>
        <v>3</v>
      </c>
      <c r="E8" s="93">
        <f t="shared" si="1"/>
        <v>5</v>
      </c>
      <c r="H8" s="307">
        <v>5.5</v>
      </c>
      <c r="J8" t="e">
        <f ca="1"/>
        <v>#NAME?</v>
      </c>
      <c r="K8">
        <f t="shared" ca="1" si="2"/>
        <v>0</v>
      </c>
      <c r="L8" t="e">
        <f t="shared" ca="1" si="3"/>
        <v>#DIV/0!</v>
      </c>
      <c r="V8" s="92" t="e">
        <f ca="1"/>
        <v>#NAME?</v>
      </c>
      <c r="W8" s="8" t="e">
        <f ca="1"/>
        <v>#NAME?</v>
      </c>
      <c r="X8" s="93" t="e">
        <f ca="1"/>
        <v>#NAME?</v>
      </c>
    </row>
    <row r="9" spans="1:24" x14ac:dyDescent="0.25">
      <c r="A9" s="307">
        <v>5.2</v>
      </c>
      <c r="C9" s="118">
        <v>5.5</v>
      </c>
      <c r="D9" s="8">
        <f t="shared" si="0"/>
        <v>2</v>
      </c>
      <c r="E9" s="93">
        <f t="shared" si="1"/>
        <v>7</v>
      </c>
      <c r="H9" s="307">
        <v>5.5</v>
      </c>
      <c r="J9" t="e">
        <f ca="1"/>
        <v>#NAME?</v>
      </c>
      <c r="K9">
        <f t="shared" ca="1" si="2"/>
        <v>0</v>
      </c>
      <c r="L9" t="e">
        <f t="shared" ca="1" si="3"/>
        <v>#DIV/0!</v>
      </c>
      <c r="V9" s="92" t="e">
        <f ca="1"/>
        <v>#NAME?</v>
      </c>
      <c r="W9" s="8" t="e">
        <f ca="1"/>
        <v>#NAME?</v>
      </c>
      <c r="X9" s="93" t="e">
        <f ca="1"/>
        <v>#NAME?</v>
      </c>
    </row>
    <row r="10" spans="1:24" x14ac:dyDescent="0.25">
      <c r="A10" s="307">
        <v>5.2</v>
      </c>
      <c r="C10" s="118">
        <v>5.6</v>
      </c>
      <c r="D10" s="8">
        <f t="shared" si="0"/>
        <v>1</v>
      </c>
      <c r="E10" s="93">
        <f t="shared" si="1"/>
        <v>8</v>
      </c>
      <c r="H10" s="307">
        <v>5.6</v>
      </c>
      <c r="J10" t="e">
        <f ca="1"/>
        <v>#NAME?</v>
      </c>
      <c r="K10">
        <f t="shared" ca="1" si="2"/>
        <v>0</v>
      </c>
      <c r="L10" t="e">
        <f t="shared" ca="1" si="3"/>
        <v>#DIV/0!</v>
      </c>
      <c r="V10" s="92" t="e">
        <f ca="1"/>
        <v>#NAME?</v>
      </c>
      <c r="W10" s="8" t="e">
        <f ca="1"/>
        <v>#NAME?</v>
      </c>
      <c r="X10" s="93" t="e">
        <f ca="1"/>
        <v>#NAME?</v>
      </c>
    </row>
    <row r="11" spans="1:24" x14ac:dyDescent="0.25">
      <c r="A11" s="307">
        <v>5.5</v>
      </c>
      <c r="C11" s="118">
        <v>5.7</v>
      </c>
      <c r="D11" s="8">
        <f t="shared" si="0"/>
        <v>4</v>
      </c>
      <c r="E11" s="93">
        <f t="shared" si="1"/>
        <v>12</v>
      </c>
      <c r="H11" s="307">
        <v>5.7</v>
      </c>
      <c r="J11" t="e">
        <f ca="1"/>
        <v>#NAME?</v>
      </c>
      <c r="K11">
        <f t="shared" ca="1" si="2"/>
        <v>0</v>
      </c>
      <c r="L11" t="e">
        <f t="shared" ca="1" si="3"/>
        <v>#DIV/0!</v>
      </c>
      <c r="V11" s="80" t="e">
        <f ca="1"/>
        <v>#NAME?</v>
      </c>
      <c r="W11" s="162" t="e">
        <f ca="1"/>
        <v>#NAME?</v>
      </c>
      <c r="X11" s="83" t="e">
        <f ca="1"/>
        <v>#NAME?</v>
      </c>
    </row>
    <row r="12" spans="1:24" x14ac:dyDescent="0.25">
      <c r="A12" s="307">
        <v>5.5</v>
      </c>
      <c r="C12" s="175">
        <v>5.8</v>
      </c>
      <c r="D12" s="162">
        <f t="shared" si="0"/>
        <v>3</v>
      </c>
      <c r="E12" s="83">
        <f t="shared" si="1"/>
        <v>15</v>
      </c>
      <c r="H12" s="307">
        <v>5.7</v>
      </c>
      <c r="J12" s="162" t="e">
        <f ca="1"/>
        <v>#NAME?</v>
      </c>
      <c r="K12" s="162">
        <f t="shared" ca="1" si="2"/>
        <v>0</v>
      </c>
      <c r="L12" s="162" t="e">
        <f t="shared" ca="1" si="3"/>
        <v>#DIV/0!</v>
      </c>
    </row>
    <row r="13" spans="1:24" x14ac:dyDescent="0.25">
      <c r="A13" s="307">
        <v>5.6</v>
      </c>
      <c r="H13" s="307">
        <v>5.7</v>
      </c>
      <c r="K13">
        <f ca="1">SUM(K6:K12)</f>
        <v>0</v>
      </c>
      <c r="L13" t="e">
        <f ca="1">SUM(L6:L12)</f>
        <v>#DIV/0!</v>
      </c>
    </row>
    <row r="14" spans="1:24" x14ac:dyDescent="0.25">
      <c r="A14" s="307">
        <v>5.7</v>
      </c>
      <c r="H14" s="307">
        <v>5.7</v>
      </c>
    </row>
    <row r="15" spans="1:24" x14ac:dyDescent="0.25">
      <c r="A15" s="307">
        <v>5.7</v>
      </c>
      <c r="H15" s="307">
        <v>5.8</v>
      </c>
    </row>
    <row r="16" spans="1:24" x14ac:dyDescent="0.25">
      <c r="A16" s="307">
        <v>5.7</v>
      </c>
      <c r="H16" s="307">
        <v>5.8</v>
      </c>
    </row>
    <row r="17" spans="1:24" x14ac:dyDescent="0.25">
      <c r="A17" s="307">
        <v>5.7</v>
      </c>
      <c r="H17" s="313">
        <v>5.8</v>
      </c>
    </row>
    <row r="18" spans="1:24" x14ac:dyDescent="0.25">
      <c r="A18" s="307">
        <v>5.8</v>
      </c>
    </row>
    <row r="19" spans="1:24" x14ac:dyDescent="0.25">
      <c r="A19" s="307">
        <v>5.8</v>
      </c>
      <c r="H19" t="s">
        <v>637</v>
      </c>
      <c r="V19" t="s">
        <v>638</v>
      </c>
    </row>
    <row r="20" spans="1:24" x14ac:dyDescent="0.25">
      <c r="A20" s="313">
        <v>5.8</v>
      </c>
    </row>
    <row r="21" spans="1:24" x14ac:dyDescent="0.25">
      <c r="H21" s="314">
        <v>5</v>
      </c>
      <c r="J21" t="s">
        <v>117</v>
      </c>
      <c r="V21" s="281" t="s">
        <v>248</v>
      </c>
      <c r="W21" s="281" t="s">
        <v>99</v>
      </c>
      <c r="X21" s="281" t="s">
        <v>193</v>
      </c>
    </row>
    <row r="22" spans="1:24" x14ac:dyDescent="0.25">
      <c r="H22" s="315">
        <v>5.0999999999999996</v>
      </c>
      <c r="V22" s="308" t="e">
        <f t="array" aca="1" ref="V22:X31" ca="1">FREQTABLE(H21:H35,0.15)</f>
        <v>#NAME?</v>
      </c>
      <c r="W22" s="178" t="e">
        <f ca="1"/>
        <v>#NAME?</v>
      </c>
      <c r="X22" s="309" t="e">
        <f ca="1"/>
        <v>#NAME?</v>
      </c>
    </row>
    <row r="23" spans="1:24" x14ac:dyDescent="0.25">
      <c r="H23" s="315">
        <v>5.2</v>
      </c>
      <c r="J23" t="s">
        <v>298</v>
      </c>
      <c r="K23">
        <v>0.15</v>
      </c>
      <c r="V23" s="92" t="e">
        <f ca="1"/>
        <v>#NAME?</v>
      </c>
      <c r="W23" s="8" t="e">
        <f ca="1"/>
        <v>#NAME?</v>
      </c>
      <c r="X23" s="93" t="e">
        <f ca="1"/>
        <v>#NAME?</v>
      </c>
    </row>
    <row r="24" spans="1:24" x14ac:dyDescent="0.25">
      <c r="H24" s="315">
        <v>5.2</v>
      </c>
      <c r="V24" s="92" t="e">
        <f ca="1"/>
        <v>#NAME?</v>
      </c>
      <c r="W24" s="8" t="e">
        <f ca="1"/>
        <v>#NAME?</v>
      </c>
      <c r="X24" s="93" t="e">
        <f ca="1"/>
        <v>#NAME?</v>
      </c>
    </row>
    <row r="25" spans="1:24" x14ac:dyDescent="0.25">
      <c r="H25" s="315">
        <v>5.2</v>
      </c>
      <c r="J25" s="281" t="s">
        <v>248</v>
      </c>
      <c r="K25" s="281" t="s">
        <v>99</v>
      </c>
      <c r="L25" s="281" t="s">
        <v>297</v>
      </c>
      <c r="V25" s="92" t="e">
        <f ca="1"/>
        <v>#NAME?</v>
      </c>
      <c r="W25" s="8" t="e">
        <f ca="1"/>
        <v>#NAME?</v>
      </c>
      <c r="X25" s="93" t="e">
        <f ca="1"/>
        <v>#NAME?</v>
      </c>
    </row>
    <row r="26" spans="1:24" x14ac:dyDescent="0.25">
      <c r="H26" s="315">
        <v>5.5</v>
      </c>
      <c r="J26">
        <f t="shared" ref="J26:J31" si="4">J27-$K$23</f>
        <v>4.8999999999999977</v>
      </c>
      <c r="V26" s="92" t="e">
        <f ca="1"/>
        <v>#NAME?</v>
      </c>
      <c r="W26" s="8" t="e">
        <f ca="1"/>
        <v>#NAME?</v>
      </c>
      <c r="X26" s="93" t="e">
        <f ca="1"/>
        <v>#NAME?</v>
      </c>
    </row>
    <row r="27" spans="1:24" x14ac:dyDescent="0.25">
      <c r="H27" s="315">
        <v>5.5</v>
      </c>
      <c r="J27">
        <f t="shared" si="4"/>
        <v>5.049999999999998</v>
      </c>
      <c r="K27">
        <f t="shared" ref="K27:K32" si="5">L27-L26</f>
        <v>1</v>
      </c>
      <c r="L27">
        <f t="shared" ref="L27:L32" si="6">COUNTIF($H$21:$H$35,"&lt;="&amp;J27)</f>
        <v>1</v>
      </c>
      <c r="V27" s="92" t="e">
        <f ca="1"/>
        <v>#NAME?</v>
      </c>
      <c r="W27" s="8" t="e">
        <f ca="1"/>
        <v>#NAME?</v>
      </c>
      <c r="X27" s="93" t="e">
        <f ca="1"/>
        <v>#NAME?</v>
      </c>
    </row>
    <row r="28" spans="1:24" x14ac:dyDescent="0.25">
      <c r="H28" s="315">
        <v>5.6</v>
      </c>
      <c r="J28">
        <f t="shared" si="4"/>
        <v>5.1999999999999984</v>
      </c>
      <c r="K28">
        <f t="shared" si="5"/>
        <v>4</v>
      </c>
      <c r="L28">
        <f t="shared" si="6"/>
        <v>5</v>
      </c>
      <c r="V28" s="92" t="e">
        <f ca="1"/>
        <v>#NAME?</v>
      </c>
      <c r="W28" s="8" t="e">
        <f ca="1"/>
        <v>#NAME?</v>
      </c>
      <c r="X28" s="93" t="e">
        <f ca="1"/>
        <v>#NAME?</v>
      </c>
    </row>
    <row r="29" spans="1:24" x14ac:dyDescent="0.25">
      <c r="H29" s="315">
        <v>5.7</v>
      </c>
      <c r="J29">
        <f t="shared" si="4"/>
        <v>5.3499999999999988</v>
      </c>
      <c r="K29">
        <f t="shared" si="5"/>
        <v>0</v>
      </c>
      <c r="L29">
        <f t="shared" si="6"/>
        <v>5</v>
      </c>
      <c r="V29" s="92" t="e">
        <f ca="1"/>
        <v>#NAME?</v>
      </c>
      <c r="W29" s="8" t="e">
        <f ca="1"/>
        <v>#NAME?</v>
      </c>
      <c r="X29" s="93" t="e">
        <f ca="1"/>
        <v>#NAME?</v>
      </c>
    </row>
    <row r="30" spans="1:24" x14ac:dyDescent="0.25">
      <c r="H30" s="315">
        <v>5.7</v>
      </c>
      <c r="J30">
        <f t="shared" si="4"/>
        <v>5.4999999999999991</v>
      </c>
      <c r="K30">
        <f t="shared" si="5"/>
        <v>2</v>
      </c>
      <c r="L30">
        <f t="shared" si="6"/>
        <v>7</v>
      </c>
      <c r="V30" s="92" t="e">
        <f ca="1"/>
        <v>#NAME?</v>
      </c>
      <c r="W30" s="8" t="e">
        <f ca="1"/>
        <v>#NAME?</v>
      </c>
      <c r="X30" s="93" t="e">
        <f ca="1"/>
        <v>#NAME?</v>
      </c>
    </row>
    <row r="31" spans="1:24" x14ac:dyDescent="0.25">
      <c r="H31" s="315">
        <v>5.7</v>
      </c>
      <c r="J31">
        <f t="shared" si="4"/>
        <v>5.6499999999999995</v>
      </c>
      <c r="K31">
        <f t="shared" si="5"/>
        <v>1</v>
      </c>
      <c r="L31">
        <f t="shared" si="6"/>
        <v>8</v>
      </c>
      <c r="V31" s="80" t="e">
        <f ca="1"/>
        <v>#NAME?</v>
      </c>
      <c r="W31" s="162" t="e">
        <f ca="1"/>
        <v>#NAME?</v>
      </c>
      <c r="X31" s="83" t="e">
        <f ca="1"/>
        <v>#NAME?</v>
      </c>
    </row>
    <row r="32" spans="1:24" x14ac:dyDescent="0.25">
      <c r="H32" s="315">
        <v>5.7</v>
      </c>
      <c r="J32" s="162">
        <f>MAX(H21:H35)</f>
        <v>5.8</v>
      </c>
      <c r="K32" s="162">
        <f t="shared" si="5"/>
        <v>7</v>
      </c>
      <c r="L32" s="162">
        <f t="shared" si="6"/>
        <v>15</v>
      </c>
    </row>
    <row r="33" spans="8:24" x14ac:dyDescent="0.25">
      <c r="H33" s="315">
        <v>5.8</v>
      </c>
    </row>
    <row r="34" spans="8:24" x14ac:dyDescent="0.25">
      <c r="H34" s="315">
        <v>5.8</v>
      </c>
    </row>
    <row r="35" spans="8:24" x14ac:dyDescent="0.25">
      <c r="H35" s="316">
        <v>5.8</v>
      </c>
    </row>
    <row r="37" spans="8:24" x14ac:dyDescent="0.25">
      <c r="H37" t="s">
        <v>637</v>
      </c>
      <c r="V37" t="s">
        <v>639</v>
      </c>
    </row>
    <row r="39" spans="8:24" x14ac:dyDescent="0.25">
      <c r="H39" s="314">
        <v>5</v>
      </c>
      <c r="J39" t="s">
        <v>117</v>
      </c>
      <c r="V39" s="281" t="s">
        <v>248</v>
      </c>
      <c r="W39" s="281" t="s">
        <v>99</v>
      </c>
      <c r="X39" s="281" t="s">
        <v>193</v>
      </c>
    </row>
    <row r="40" spans="8:24" x14ac:dyDescent="0.25">
      <c r="H40" s="315">
        <v>5.0999999999999996</v>
      </c>
      <c r="V40" s="308" t="e">
        <f t="array" aca="1" ref="V40:X49" ca="1">FREQTABLE(H39:H53,0.16)</f>
        <v>#NAME?</v>
      </c>
      <c r="W40" s="178" t="e">
        <f ca="1"/>
        <v>#NAME?</v>
      </c>
      <c r="X40" s="309" t="e">
        <f ca="1"/>
        <v>#NAME?</v>
      </c>
    </row>
    <row r="41" spans="8:24" x14ac:dyDescent="0.25">
      <c r="H41" s="315">
        <v>5.2</v>
      </c>
      <c r="J41" t="s">
        <v>298</v>
      </c>
      <c r="K41">
        <v>0.16</v>
      </c>
      <c r="V41" s="92" t="e">
        <f ca="1"/>
        <v>#NAME?</v>
      </c>
      <c r="W41" s="8" t="e">
        <f ca="1"/>
        <v>#NAME?</v>
      </c>
      <c r="X41" s="93" t="e">
        <f ca="1"/>
        <v>#NAME?</v>
      </c>
    </row>
    <row r="42" spans="8:24" x14ac:dyDescent="0.25">
      <c r="H42" s="315">
        <v>5.2</v>
      </c>
      <c r="V42" s="92" t="e">
        <f ca="1"/>
        <v>#NAME?</v>
      </c>
      <c r="W42" s="8" t="e">
        <f ca="1"/>
        <v>#NAME?</v>
      </c>
      <c r="X42" s="93" t="e">
        <f ca="1"/>
        <v>#NAME?</v>
      </c>
    </row>
    <row r="43" spans="8:24" x14ac:dyDescent="0.25">
      <c r="H43" s="315">
        <v>5.2</v>
      </c>
      <c r="J43" s="281" t="s">
        <v>248</v>
      </c>
      <c r="K43" s="281" t="s">
        <v>99</v>
      </c>
      <c r="L43" s="281" t="s">
        <v>297</v>
      </c>
      <c r="V43" s="92" t="e">
        <f ca="1"/>
        <v>#NAME?</v>
      </c>
      <c r="W43" s="8" t="e">
        <f ca="1"/>
        <v>#NAME?</v>
      </c>
      <c r="X43" s="93" t="e">
        <f ca="1"/>
        <v>#NAME?</v>
      </c>
    </row>
    <row r="44" spans="8:24" x14ac:dyDescent="0.25">
      <c r="H44" s="315">
        <v>5.5</v>
      </c>
      <c r="J44">
        <f t="shared" ref="J44:J49" si="7">J45-$K$41</f>
        <v>4.839999999999999</v>
      </c>
      <c r="V44" s="92" t="e">
        <f ca="1"/>
        <v>#NAME?</v>
      </c>
      <c r="W44" s="8" t="e">
        <f ca="1"/>
        <v>#NAME?</v>
      </c>
      <c r="X44" s="93" t="e">
        <f ca="1"/>
        <v>#NAME?</v>
      </c>
    </row>
    <row r="45" spans="8:24" x14ac:dyDescent="0.25">
      <c r="H45" s="315">
        <v>5.5</v>
      </c>
      <c r="J45">
        <f t="shared" si="7"/>
        <v>4.9999999999999991</v>
      </c>
      <c r="K45">
        <f t="shared" ref="K45:K50" si="8">L45-L44</f>
        <v>1</v>
      </c>
      <c r="L45">
        <f t="shared" ref="L45:L50" si="9">COUNTIF($H$39:$H$53,"&lt;="&amp;J45)</f>
        <v>1</v>
      </c>
      <c r="V45" s="92" t="e">
        <f ca="1"/>
        <v>#NAME?</v>
      </c>
      <c r="W45" s="8" t="e">
        <f ca="1"/>
        <v>#NAME?</v>
      </c>
      <c r="X45" s="93" t="e">
        <f ca="1"/>
        <v>#NAME?</v>
      </c>
    </row>
    <row r="46" spans="8:24" x14ac:dyDescent="0.25">
      <c r="H46" s="315">
        <v>5.6</v>
      </c>
      <c r="J46">
        <f t="shared" si="7"/>
        <v>5.1599999999999993</v>
      </c>
      <c r="K46">
        <f t="shared" si="8"/>
        <v>1</v>
      </c>
      <c r="L46">
        <f t="shared" si="9"/>
        <v>2</v>
      </c>
      <c r="V46" s="92" t="e">
        <f ca="1"/>
        <v>#NAME?</v>
      </c>
      <c r="W46" s="8" t="e">
        <f ca="1"/>
        <v>#NAME?</v>
      </c>
      <c r="X46" s="93" t="e">
        <f ca="1"/>
        <v>#NAME?</v>
      </c>
    </row>
    <row r="47" spans="8:24" x14ac:dyDescent="0.25">
      <c r="H47" s="315">
        <v>5.7</v>
      </c>
      <c r="J47">
        <f t="shared" si="7"/>
        <v>5.3199999999999994</v>
      </c>
      <c r="K47">
        <f t="shared" si="8"/>
        <v>3</v>
      </c>
      <c r="L47">
        <f t="shared" si="9"/>
        <v>5</v>
      </c>
      <c r="V47" s="92" t="e">
        <f ca="1"/>
        <v>#NAME?</v>
      </c>
      <c r="W47" s="8" t="e">
        <f ca="1"/>
        <v>#NAME?</v>
      </c>
      <c r="X47" s="93" t="e">
        <f ca="1"/>
        <v>#NAME?</v>
      </c>
    </row>
    <row r="48" spans="8:24" x14ac:dyDescent="0.25">
      <c r="H48" s="315">
        <v>5.7</v>
      </c>
      <c r="J48">
        <f t="shared" si="7"/>
        <v>5.4799999999999995</v>
      </c>
      <c r="K48">
        <f t="shared" si="8"/>
        <v>0</v>
      </c>
      <c r="L48">
        <f t="shared" si="9"/>
        <v>5</v>
      </c>
      <c r="V48" s="92" t="e">
        <f ca="1"/>
        <v>#NAME?</v>
      </c>
      <c r="W48" s="8" t="e">
        <f ca="1"/>
        <v>#NAME?</v>
      </c>
      <c r="X48" s="93" t="e">
        <f ca="1"/>
        <v>#NAME?</v>
      </c>
    </row>
    <row r="49" spans="8:24" x14ac:dyDescent="0.25">
      <c r="H49" s="315">
        <v>5.7</v>
      </c>
      <c r="J49">
        <f t="shared" si="7"/>
        <v>5.64</v>
      </c>
      <c r="K49">
        <f t="shared" si="8"/>
        <v>3</v>
      </c>
      <c r="L49">
        <f t="shared" si="9"/>
        <v>8</v>
      </c>
      <c r="V49" s="80" t="e">
        <f ca="1"/>
        <v>#NAME?</v>
      </c>
      <c r="W49" s="162" t="e">
        <f ca="1"/>
        <v>#NAME?</v>
      </c>
      <c r="X49" s="83" t="e">
        <f ca="1"/>
        <v>#NAME?</v>
      </c>
    </row>
    <row r="50" spans="8:24" x14ac:dyDescent="0.25">
      <c r="H50" s="315">
        <v>5.7</v>
      </c>
      <c r="J50" s="162">
        <f>MAX(H39:H53)</f>
        <v>5.8</v>
      </c>
      <c r="K50" s="162">
        <f t="shared" si="8"/>
        <v>7</v>
      </c>
      <c r="L50" s="162">
        <f t="shared" si="9"/>
        <v>15</v>
      </c>
    </row>
    <row r="51" spans="8:24" x14ac:dyDescent="0.25">
      <c r="H51" s="315">
        <v>5.8</v>
      </c>
    </row>
    <row r="52" spans="8:24" x14ac:dyDescent="0.25">
      <c r="H52" s="315">
        <v>5.8</v>
      </c>
    </row>
    <row r="53" spans="8:24" x14ac:dyDescent="0.25">
      <c r="H53" s="316">
        <v>5.8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18"/>
  <sheetViews>
    <sheetView workbookViewId="0"/>
  </sheetViews>
  <sheetFormatPr defaultRowHeight="15" x14ac:dyDescent="0.25"/>
  <cols>
    <col min="1" max="3" width="7.7109375" customWidth="1"/>
    <col min="4" max="4" width="7.140625" customWidth="1"/>
    <col min="5" max="7" width="7.7109375" customWidth="1"/>
    <col min="8" max="8" width="7.140625" customWidth="1"/>
    <col min="9" max="11" width="7.7109375" customWidth="1"/>
    <col min="12" max="12" width="7.140625" customWidth="1"/>
    <col min="13" max="15" width="7.7109375" customWidth="1"/>
  </cols>
  <sheetData>
    <row r="1" spans="1:15" x14ac:dyDescent="0.25">
      <c r="A1" s="1" t="s">
        <v>640</v>
      </c>
      <c r="E1" s="383" t="s">
        <v>641</v>
      </c>
      <c r="F1" s="383"/>
      <c r="G1" s="383"/>
      <c r="I1" s="383" t="s">
        <v>642</v>
      </c>
      <c r="J1" s="383"/>
      <c r="K1" s="383"/>
      <c r="M1" s="383" t="s">
        <v>643</v>
      </c>
      <c r="N1" s="383"/>
      <c r="O1" s="383"/>
    </row>
    <row r="3" spans="1:15" x14ac:dyDescent="0.25">
      <c r="A3" s="289" t="s">
        <v>357</v>
      </c>
      <c r="B3" s="289" t="s">
        <v>644</v>
      </c>
      <c r="C3" s="289" t="s">
        <v>645</v>
      </c>
      <c r="E3" s="289" t="s">
        <v>357</v>
      </c>
      <c r="F3" s="289" t="s">
        <v>644</v>
      </c>
      <c r="G3" s="289" t="s">
        <v>645</v>
      </c>
      <c r="I3" s="19" t="s">
        <v>646</v>
      </c>
      <c r="J3" s="19" t="s">
        <v>647</v>
      </c>
      <c r="K3" s="19" t="s">
        <v>648</v>
      </c>
      <c r="L3" s="19"/>
      <c r="M3" s="19" t="s">
        <v>646</v>
      </c>
      <c r="N3" s="19" t="s">
        <v>647</v>
      </c>
      <c r="O3" s="19" t="s">
        <v>648</v>
      </c>
    </row>
    <row r="4" spans="1:15" x14ac:dyDescent="0.25">
      <c r="A4" s="317">
        <v>1990</v>
      </c>
      <c r="B4" s="297" t="s">
        <v>649</v>
      </c>
      <c r="C4" s="318">
        <v>5</v>
      </c>
      <c r="E4" s="317">
        <v>1990</v>
      </c>
      <c r="F4" s="297" t="e">
        <f t="array" aca="1" ref="F4:F13" ca="1">CATCODE(B4:B13)</f>
        <v>#NAME?</v>
      </c>
      <c r="G4" s="318">
        <v>5</v>
      </c>
      <c r="I4" s="308" t="e">
        <f t="array" aca="1" ref="I4:K13" ca="1">TAGCODE(B4:B13)</f>
        <v>#NAME?</v>
      </c>
      <c r="J4" s="178" t="e">
        <f ca="1"/>
        <v>#NAME?</v>
      </c>
      <c r="K4" s="309" t="e">
        <f ca="1"/>
        <v>#NAME?</v>
      </c>
      <c r="M4" s="308" t="e">
        <f t="array" aca="1" ref="M4:O13" ca="1">TAGCODE(F4:F13,FALSE)</f>
        <v>#NAME?</v>
      </c>
      <c r="N4" s="178" t="e">
        <f ca="1"/>
        <v>#NAME?</v>
      </c>
      <c r="O4" s="309" t="e">
        <f ca="1"/>
        <v>#NAME?</v>
      </c>
    </row>
    <row r="5" spans="1:15" x14ac:dyDescent="0.25">
      <c r="A5" s="94">
        <v>1990</v>
      </c>
      <c r="B5" s="277" t="s">
        <v>650</v>
      </c>
      <c r="C5" s="89">
        <v>15</v>
      </c>
      <c r="E5" s="94">
        <v>1990</v>
      </c>
      <c r="F5" s="277" t="e">
        <f ca="1"/>
        <v>#NAME?</v>
      </c>
      <c r="G5" s="89">
        <v>15</v>
      </c>
      <c r="I5" s="92" t="e">
        <f ca="1"/>
        <v>#NAME?</v>
      </c>
      <c r="J5" s="8" t="e">
        <f ca="1"/>
        <v>#NAME?</v>
      </c>
      <c r="K5" s="93" t="e">
        <f ca="1"/>
        <v>#NAME?</v>
      </c>
      <c r="M5" s="92" t="e">
        <f ca="1"/>
        <v>#NAME?</v>
      </c>
      <c r="N5" s="8" t="e">
        <f ca="1"/>
        <v>#NAME?</v>
      </c>
      <c r="O5" s="93" t="e">
        <f ca="1"/>
        <v>#NAME?</v>
      </c>
    </row>
    <row r="6" spans="1:15" x14ac:dyDescent="0.25">
      <c r="A6" s="94">
        <v>1990</v>
      </c>
      <c r="B6" s="277" t="s">
        <v>651</v>
      </c>
      <c r="C6" s="89">
        <v>28</v>
      </c>
      <c r="E6" s="94">
        <v>1990</v>
      </c>
      <c r="F6" s="277" t="e">
        <f ca="1"/>
        <v>#NAME?</v>
      </c>
      <c r="G6" s="89">
        <v>28</v>
      </c>
      <c r="I6" s="92" t="e">
        <f ca="1"/>
        <v>#NAME?</v>
      </c>
      <c r="J6" s="8" t="e">
        <f ca="1"/>
        <v>#NAME?</v>
      </c>
      <c r="K6" s="93" t="e">
        <f ca="1"/>
        <v>#NAME?</v>
      </c>
      <c r="M6" s="92" t="e">
        <f ca="1"/>
        <v>#NAME?</v>
      </c>
      <c r="N6" s="8" t="e">
        <f ca="1"/>
        <v>#NAME?</v>
      </c>
      <c r="O6" s="93" t="e">
        <f ca="1"/>
        <v>#NAME?</v>
      </c>
    </row>
    <row r="7" spans="1:15" x14ac:dyDescent="0.25">
      <c r="A7" s="94">
        <v>1990</v>
      </c>
      <c r="B7" s="277" t="s">
        <v>652</v>
      </c>
      <c r="C7" s="89">
        <v>17</v>
      </c>
      <c r="E7" s="94">
        <v>1990</v>
      </c>
      <c r="F7" s="277" t="e">
        <f ca="1"/>
        <v>#NAME?</v>
      </c>
      <c r="G7" s="89">
        <v>17</v>
      </c>
      <c r="I7" s="92" t="e">
        <f ca="1"/>
        <v>#NAME?</v>
      </c>
      <c r="J7" s="8" t="e">
        <f ca="1"/>
        <v>#NAME?</v>
      </c>
      <c r="K7" s="93" t="e">
        <f ca="1"/>
        <v>#NAME?</v>
      </c>
      <c r="M7" s="92" t="e">
        <f ca="1"/>
        <v>#NAME?</v>
      </c>
      <c r="N7" s="8" t="e">
        <f ca="1"/>
        <v>#NAME?</v>
      </c>
      <c r="O7" s="93" t="e">
        <f ca="1"/>
        <v>#NAME?</v>
      </c>
    </row>
    <row r="8" spans="1:15" x14ac:dyDescent="0.25">
      <c r="A8" s="94">
        <v>1991</v>
      </c>
      <c r="B8" s="277" t="s">
        <v>649</v>
      </c>
      <c r="C8" s="89">
        <v>7</v>
      </c>
      <c r="E8" s="94">
        <v>1991</v>
      </c>
      <c r="F8" s="277" t="e">
        <f ca="1"/>
        <v>#NAME?</v>
      </c>
      <c r="G8" s="89">
        <v>7</v>
      </c>
      <c r="I8" s="92" t="e">
        <f ca="1"/>
        <v>#NAME?</v>
      </c>
      <c r="J8" s="8" t="e">
        <f ca="1"/>
        <v>#NAME?</v>
      </c>
      <c r="K8" s="93" t="e">
        <f ca="1"/>
        <v>#NAME?</v>
      </c>
      <c r="M8" s="92" t="e">
        <f ca="1"/>
        <v>#NAME?</v>
      </c>
      <c r="N8" s="8" t="e">
        <f ca="1"/>
        <v>#NAME?</v>
      </c>
      <c r="O8" s="93" t="e">
        <f ca="1"/>
        <v>#NAME?</v>
      </c>
    </row>
    <row r="9" spans="1:15" x14ac:dyDescent="0.25">
      <c r="A9" s="94">
        <v>1991</v>
      </c>
      <c r="B9" s="277" t="s">
        <v>650</v>
      </c>
      <c r="C9" s="89">
        <v>20</v>
      </c>
      <c r="E9" s="94">
        <v>1991</v>
      </c>
      <c r="F9" s="277" t="e">
        <f ca="1"/>
        <v>#NAME?</v>
      </c>
      <c r="G9" s="89">
        <v>20</v>
      </c>
      <c r="I9" s="92" t="e">
        <f ca="1"/>
        <v>#NAME?</v>
      </c>
      <c r="J9" s="8" t="e">
        <f ca="1"/>
        <v>#NAME?</v>
      </c>
      <c r="K9" s="93" t="e">
        <f ca="1"/>
        <v>#NAME?</v>
      </c>
      <c r="M9" s="92" t="e">
        <f ca="1"/>
        <v>#NAME?</v>
      </c>
      <c r="N9" s="8" t="e">
        <f ca="1"/>
        <v>#NAME?</v>
      </c>
      <c r="O9" s="93" t="e">
        <f ca="1"/>
        <v>#NAME?</v>
      </c>
    </row>
    <row r="10" spans="1:15" x14ac:dyDescent="0.25">
      <c r="A10" s="94">
        <v>1992</v>
      </c>
      <c r="B10" s="277"/>
      <c r="C10" s="89"/>
      <c r="E10" s="94">
        <v>1992</v>
      </c>
      <c r="F10" s="277" t="e">
        <f ca="1"/>
        <v>#NAME?</v>
      </c>
      <c r="G10" s="89"/>
      <c r="I10" s="92" t="e">
        <f ca="1"/>
        <v>#NAME?</v>
      </c>
      <c r="J10" s="8" t="e">
        <f ca="1"/>
        <v>#NAME?</v>
      </c>
      <c r="K10" s="93" t="e">
        <f ca="1"/>
        <v>#NAME?</v>
      </c>
      <c r="M10" s="92" t="e">
        <f ca="1"/>
        <v>#NAME?</v>
      </c>
      <c r="N10" s="8" t="e">
        <f ca="1"/>
        <v>#NAME?</v>
      </c>
      <c r="O10" s="93" t="e">
        <f ca="1"/>
        <v>#NAME?</v>
      </c>
    </row>
    <row r="11" spans="1:15" x14ac:dyDescent="0.25">
      <c r="A11" s="94">
        <v>1993</v>
      </c>
      <c r="B11" s="277" t="s">
        <v>649</v>
      </c>
      <c r="C11" s="89">
        <v>6</v>
      </c>
      <c r="E11" s="94">
        <v>1993</v>
      </c>
      <c r="F11" s="277" t="e">
        <f ca="1"/>
        <v>#NAME?</v>
      </c>
      <c r="G11" s="89">
        <v>6</v>
      </c>
      <c r="I11" s="92" t="e">
        <f ca="1"/>
        <v>#NAME?</v>
      </c>
      <c r="J11" s="8" t="e">
        <f ca="1"/>
        <v>#NAME?</v>
      </c>
      <c r="K11" s="93" t="e">
        <f ca="1"/>
        <v>#NAME?</v>
      </c>
      <c r="M11" s="92" t="e">
        <f ca="1"/>
        <v>#NAME?</v>
      </c>
      <c r="N11" s="8" t="e">
        <f ca="1"/>
        <v>#NAME?</v>
      </c>
      <c r="O11" s="93" t="e">
        <f ca="1"/>
        <v>#NAME?</v>
      </c>
    </row>
    <row r="12" spans="1:15" x14ac:dyDescent="0.25">
      <c r="A12" s="94">
        <v>1993</v>
      </c>
      <c r="B12" s="277" t="s">
        <v>652</v>
      </c>
      <c r="C12" s="89">
        <v>18</v>
      </c>
      <c r="E12" s="94">
        <v>1993</v>
      </c>
      <c r="F12" s="277" t="e">
        <f ca="1"/>
        <v>#NAME?</v>
      </c>
      <c r="G12" s="89">
        <v>18</v>
      </c>
      <c r="I12" s="92" t="e">
        <f ca="1"/>
        <v>#NAME?</v>
      </c>
      <c r="J12" s="8" t="e">
        <f ca="1"/>
        <v>#NAME?</v>
      </c>
      <c r="K12" s="93" t="e">
        <f ca="1"/>
        <v>#NAME?</v>
      </c>
      <c r="M12" s="92" t="e">
        <f ca="1"/>
        <v>#NAME?</v>
      </c>
      <c r="N12" s="8" t="e">
        <f ca="1"/>
        <v>#NAME?</v>
      </c>
      <c r="O12" s="93" t="e">
        <f ca="1"/>
        <v>#NAME?</v>
      </c>
    </row>
    <row r="13" spans="1:15" x14ac:dyDescent="0.25">
      <c r="A13" s="87">
        <v>1994</v>
      </c>
      <c r="B13" s="281" t="s">
        <v>651</v>
      </c>
      <c r="C13" s="82">
        <v>30</v>
      </c>
      <c r="E13" s="87">
        <v>1994</v>
      </c>
      <c r="F13" s="281" t="e">
        <f ca="1"/>
        <v>#NAME?</v>
      </c>
      <c r="G13" s="82">
        <v>30</v>
      </c>
      <c r="I13" s="80" t="e">
        <f ca="1"/>
        <v>#NAME?</v>
      </c>
      <c r="J13" s="162" t="e">
        <f ca="1"/>
        <v>#NAME?</v>
      </c>
      <c r="K13" s="83" t="e">
        <f ca="1"/>
        <v>#NAME?</v>
      </c>
      <c r="M13" s="80" t="e">
        <f ca="1"/>
        <v>#NAME?</v>
      </c>
      <c r="N13" s="162" t="e">
        <f ca="1"/>
        <v>#NAME?</v>
      </c>
      <c r="O13" s="83" t="e">
        <f ca="1"/>
        <v>#NAME?</v>
      </c>
    </row>
    <row r="18" spans="4:4" x14ac:dyDescent="0.25">
      <c r="D18" s="1"/>
    </row>
  </sheetData>
  <mergeCells count="3">
    <mergeCell ref="E1:G1"/>
    <mergeCell ref="I1:K1"/>
    <mergeCell ref="M1:O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43"/>
  <sheetViews>
    <sheetView workbookViewId="0"/>
  </sheetViews>
  <sheetFormatPr defaultRowHeight="15" x14ac:dyDescent="0.25"/>
  <sheetData>
    <row r="1" spans="1:13" x14ac:dyDescent="0.25">
      <c r="A1" s="1" t="s">
        <v>653</v>
      </c>
    </row>
    <row r="3" spans="1:13" x14ac:dyDescent="0.25">
      <c r="A3" s="1" t="s">
        <v>654</v>
      </c>
      <c r="H3" s="1" t="s">
        <v>655</v>
      </c>
    </row>
    <row r="5" spans="1:13" x14ac:dyDescent="0.25">
      <c r="B5">
        <v>4</v>
      </c>
      <c r="C5">
        <v>5</v>
      </c>
      <c r="D5">
        <v>6</v>
      </c>
      <c r="E5">
        <v>7</v>
      </c>
      <c r="F5">
        <v>8</v>
      </c>
      <c r="I5">
        <v>4</v>
      </c>
      <c r="J5">
        <v>6</v>
      </c>
      <c r="K5">
        <v>12</v>
      </c>
      <c r="L5">
        <v>20</v>
      </c>
      <c r="M5">
        <v>30</v>
      </c>
    </row>
    <row r="6" spans="1:13" x14ac:dyDescent="0.25">
      <c r="A6">
        <v>2</v>
      </c>
      <c r="B6" s="319">
        <v>0.125</v>
      </c>
      <c r="C6" s="320">
        <v>0.1</v>
      </c>
      <c r="D6" s="320">
        <v>8.3299999999999999E-2</v>
      </c>
      <c r="E6" s="320">
        <v>7.1400000000000005E-2</v>
      </c>
      <c r="F6" s="321">
        <v>6.25E-2</v>
      </c>
      <c r="H6" s="19" t="s">
        <v>604</v>
      </c>
      <c r="I6" s="319">
        <f t="shared" ref="I6:M9" si="0">B6</f>
        <v>0.125</v>
      </c>
      <c r="J6" s="320">
        <f t="shared" si="0"/>
        <v>0.1</v>
      </c>
      <c r="K6" s="320">
        <f t="shared" si="0"/>
        <v>8.3299999999999999E-2</v>
      </c>
      <c r="L6" s="320">
        <f t="shared" si="0"/>
        <v>7.1400000000000005E-2</v>
      </c>
      <c r="M6" s="321">
        <f t="shared" si="0"/>
        <v>6.25E-2</v>
      </c>
    </row>
    <row r="7" spans="1:13" x14ac:dyDescent="0.25">
      <c r="A7">
        <v>3</v>
      </c>
      <c r="B7" s="322">
        <v>8.3299999999999999E-2</v>
      </c>
      <c r="C7" s="323">
        <v>6.6600000000000006E-2</v>
      </c>
      <c r="D7" s="323">
        <v>5.5500000000000001E-2</v>
      </c>
      <c r="E7" s="323">
        <v>4.7600000000000003E-2</v>
      </c>
      <c r="F7" s="324">
        <v>4.1599999999999998E-2</v>
      </c>
      <c r="H7" s="19" t="s">
        <v>656</v>
      </c>
      <c r="I7" s="322">
        <f t="shared" si="0"/>
        <v>8.3299999999999999E-2</v>
      </c>
      <c r="J7" s="323">
        <f t="shared" si="0"/>
        <v>6.6600000000000006E-2</v>
      </c>
      <c r="K7" s="323">
        <f t="shared" si="0"/>
        <v>5.5500000000000001E-2</v>
      </c>
      <c r="L7" s="323">
        <f t="shared" si="0"/>
        <v>4.7600000000000003E-2</v>
      </c>
      <c r="M7" s="324">
        <f t="shared" si="0"/>
        <v>4.1599999999999998E-2</v>
      </c>
    </row>
    <row r="8" spans="1:13" x14ac:dyDescent="0.25">
      <c r="A8">
        <v>4</v>
      </c>
      <c r="B8" s="322">
        <v>6.25E-2</v>
      </c>
      <c r="C8" s="323">
        <v>0.05</v>
      </c>
      <c r="D8" s="323">
        <v>4.1599999999999998E-2</v>
      </c>
      <c r="E8" s="323">
        <v>3.5700000000000003E-2</v>
      </c>
      <c r="F8" s="324">
        <v>3.1199999999999999E-2</v>
      </c>
      <c r="H8" s="19" t="s">
        <v>125</v>
      </c>
      <c r="I8" s="322">
        <f t="shared" si="0"/>
        <v>6.25E-2</v>
      </c>
      <c r="J8" s="323">
        <f t="shared" si="0"/>
        <v>0.05</v>
      </c>
      <c r="K8" s="323">
        <f t="shared" si="0"/>
        <v>4.1599999999999998E-2</v>
      </c>
      <c r="L8" s="323">
        <f t="shared" si="0"/>
        <v>3.5700000000000003E-2</v>
      </c>
      <c r="M8" s="324">
        <f t="shared" si="0"/>
        <v>3.1199999999999999E-2</v>
      </c>
    </row>
    <row r="9" spans="1:13" x14ac:dyDescent="0.25">
      <c r="A9">
        <v>5</v>
      </c>
      <c r="B9" s="325">
        <v>0.05</v>
      </c>
      <c r="C9" s="326">
        <v>0.04</v>
      </c>
      <c r="D9" s="326">
        <v>3.3300000000000003E-2</v>
      </c>
      <c r="E9" s="326">
        <v>2.8500000000000001E-2</v>
      </c>
      <c r="F9" s="327">
        <v>2.5000000000000001E-2</v>
      </c>
      <c r="H9" s="19" t="s">
        <v>126</v>
      </c>
      <c r="I9" s="325">
        <f t="shared" si="0"/>
        <v>0.05</v>
      </c>
      <c r="J9" s="326">
        <f t="shared" si="0"/>
        <v>0.04</v>
      </c>
      <c r="K9" s="326">
        <f t="shared" si="0"/>
        <v>3.3300000000000003E-2</v>
      </c>
      <c r="L9" s="326">
        <f t="shared" si="0"/>
        <v>2.8500000000000001E-2</v>
      </c>
      <c r="M9" s="327">
        <f t="shared" si="0"/>
        <v>2.5000000000000001E-2</v>
      </c>
    </row>
    <row r="11" spans="1:13" x14ac:dyDescent="0.25">
      <c r="B11" t="s">
        <v>657</v>
      </c>
      <c r="C11">
        <v>4</v>
      </c>
      <c r="D11">
        <v>5</v>
      </c>
      <c r="E11" s="48">
        <v>4.0999999999999996</v>
      </c>
      <c r="F11">
        <v>5</v>
      </c>
      <c r="I11" t="s">
        <v>657</v>
      </c>
      <c r="J11" s="19" t="s">
        <v>604</v>
      </c>
      <c r="K11" s="19" t="s">
        <v>126</v>
      </c>
      <c r="L11" s="19" t="s">
        <v>604</v>
      </c>
      <c r="M11" s="19" t="s">
        <v>616</v>
      </c>
    </row>
    <row r="12" spans="1:13" x14ac:dyDescent="0.25">
      <c r="B12" t="s">
        <v>658</v>
      </c>
      <c r="C12">
        <v>5</v>
      </c>
      <c r="D12">
        <v>8</v>
      </c>
      <c r="E12" s="48">
        <v>8.9</v>
      </c>
      <c r="F12">
        <v>10</v>
      </c>
      <c r="I12" t="s">
        <v>658</v>
      </c>
      <c r="J12" s="19">
        <v>6</v>
      </c>
      <c r="K12" s="19">
        <v>12</v>
      </c>
      <c r="L12" s="19">
        <v>6.1</v>
      </c>
      <c r="M12" s="19">
        <v>30</v>
      </c>
    </row>
    <row r="13" spans="1:13" x14ac:dyDescent="0.25">
      <c r="B13" t="s">
        <v>659</v>
      </c>
      <c r="C13" s="323">
        <f>INDEX($B$6:$F$9,C11-$A$6+1,C12-$B$5+1)</f>
        <v>0.05</v>
      </c>
      <c r="D13" s="323">
        <f>INDEX($B$6:$F$9,D11-$A$6+1,D12-$B$5+1)</f>
        <v>2.5000000000000001E-2</v>
      </c>
      <c r="E13" s="323">
        <f>INDEX($B$6:$F$9,E11-$A$6+1,E12-$B$5+1)</f>
        <v>3.1199999999999999E-2</v>
      </c>
      <c r="F13" s="323" t="e">
        <f>INDEX($B$6:$F$9,F11-$A$6+1,F12-$B$5+1)</f>
        <v>#REF!</v>
      </c>
      <c r="I13" t="s">
        <v>660</v>
      </c>
      <c r="J13">
        <f>MATCH(J11,$H$6:$H$9,0)</f>
        <v>1</v>
      </c>
      <c r="K13">
        <f>MATCH(K11,$H$6:$H$9,0)</f>
        <v>4</v>
      </c>
      <c r="L13">
        <f>MATCH(L11,$H$6:$H$9,0)</f>
        <v>1</v>
      </c>
      <c r="M13" t="e">
        <f>MATCH(M11,$H$6:$H$9,0)</f>
        <v>#N/A</v>
      </c>
    </row>
    <row r="14" spans="1:13" x14ac:dyDescent="0.25">
      <c r="I14" t="s">
        <v>661</v>
      </c>
      <c r="J14">
        <f>MATCH(J12,$I$5:$M$5,0)</f>
        <v>2</v>
      </c>
      <c r="K14">
        <f>MATCH(K12,$I$5:$M$5,0)</f>
        <v>3</v>
      </c>
      <c r="L14" t="e">
        <f>MATCH(L12,$I$5:$M$5,0)</f>
        <v>#N/A</v>
      </c>
      <c r="M14">
        <f>MATCH(M12,$I$5:$M$5,0)</f>
        <v>5</v>
      </c>
    </row>
    <row r="15" spans="1:13" x14ac:dyDescent="0.25">
      <c r="I15" t="s">
        <v>659</v>
      </c>
      <c r="J15" s="323">
        <f>INDEX($I$6:$M$9,J13,J14)</f>
        <v>0.1</v>
      </c>
      <c r="K15" s="323">
        <f>INDEX($I$6:$M$9,K13,K14)</f>
        <v>3.3300000000000003E-2</v>
      </c>
      <c r="L15" s="323" t="e">
        <f>INDEX($I$6:$M$9,L13,L14)</f>
        <v>#N/A</v>
      </c>
      <c r="M15" s="323" t="e">
        <f>INDEX($I$6:$M$9,M13,M14)</f>
        <v>#N/A</v>
      </c>
    </row>
    <row r="16" spans="1:13" x14ac:dyDescent="0.25">
      <c r="I16" t="s">
        <v>662</v>
      </c>
      <c r="J16" t="e">
        <f ca="1">MLookup($H$5:$M$9,J11,J12)</f>
        <v>#NAME?</v>
      </c>
      <c r="K16" t="e">
        <f ca="1">MLookup($H$5:$M$9,K11,K12)</f>
        <v>#NAME?</v>
      </c>
      <c r="L16" t="e">
        <f ca="1">MLookup($H$5:$M$9,L11,L12)</f>
        <v>#NAME?</v>
      </c>
      <c r="M16" t="e">
        <f ca="1">MLookup($H$5:$M$9,M11,M12)</f>
        <v>#NAME?</v>
      </c>
    </row>
    <row r="18" spans="1:16" x14ac:dyDescent="0.25">
      <c r="A18" s="1" t="s">
        <v>663</v>
      </c>
      <c r="H18" s="1" t="s">
        <v>664</v>
      </c>
    </row>
    <row r="20" spans="1:16" x14ac:dyDescent="0.25">
      <c r="B20">
        <v>1</v>
      </c>
      <c r="C20">
        <f>B20+1</f>
        <v>2</v>
      </c>
      <c r="D20">
        <f>C20+1</f>
        <v>3</v>
      </c>
      <c r="E20">
        <f>D20+1</f>
        <v>4</v>
      </c>
      <c r="F20">
        <f>E20+1</f>
        <v>5</v>
      </c>
      <c r="H20" s="300" t="s">
        <v>665</v>
      </c>
      <c r="I20">
        <v>4</v>
      </c>
      <c r="J20">
        <v>5</v>
      </c>
      <c r="K20">
        <v>6</v>
      </c>
      <c r="L20">
        <v>7</v>
      </c>
      <c r="M20">
        <v>8</v>
      </c>
    </row>
    <row r="21" spans="1:16" x14ac:dyDescent="0.25">
      <c r="A21">
        <v>1</v>
      </c>
      <c r="B21" s="319">
        <f t="shared" ref="B21:F24" si="1">B6</f>
        <v>0.125</v>
      </c>
      <c r="C21" s="320">
        <f t="shared" si="1"/>
        <v>0.1</v>
      </c>
      <c r="D21" s="320">
        <f t="shared" si="1"/>
        <v>8.3299999999999999E-2</v>
      </c>
      <c r="E21" s="320">
        <f t="shared" si="1"/>
        <v>7.1400000000000005E-2</v>
      </c>
      <c r="F21" s="321">
        <f t="shared" si="1"/>
        <v>6.25E-2</v>
      </c>
      <c r="H21">
        <v>2</v>
      </c>
      <c r="I21" s="319">
        <f t="shared" ref="I21:M24" si="2">B6</f>
        <v>0.125</v>
      </c>
      <c r="J21" s="320">
        <f t="shared" si="2"/>
        <v>0.1</v>
      </c>
      <c r="K21" s="320">
        <f t="shared" si="2"/>
        <v>8.3299999999999999E-2</v>
      </c>
      <c r="L21" s="320">
        <f t="shared" si="2"/>
        <v>7.1400000000000005E-2</v>
      </c>
      <c r="M21" s="321">
        <f t="shared" si="2"/>
        <v>6.25E-2</v>
      </c>
    </row>
    <row r="22" spans="1:16" x14ac:dyDescent="0.25">
      <c r="A22">
        <v>5</v>
      </c>
      <c r="B22" s="322">
        <f t="shared" si="1"/>
        <v>8.3299999999999999E-2</v>
      </c>
      <c r="C22" s="323">
        <f t="shared" si="1"/>
        <v>6.6600000000000006E-2</v>
      </c>
      <c r="D22" s="323">
        <f t="shared" si="1"/>
        <v>5.5500000000000001E-2</v>
      </c>
      <c r="E22" s="323">
        <f t="shared" si="1"/>
        <v>4.7600000000000003E-2</v>
      </c>
      <c r="F22" s="324">
        <f t="shared" si="1"/>
        <v>4.1599999999999998E-2</v>
      </c>
      <c r="H22">
        <v>3</v>
      </c>
      <c r="I22" s="322">
        <f t="shared" si="2"/>
        <v>8.3299999999999999E-2</v>
      </c>
      <c r="J22" s="323">
        <f t="shared" si="2"/>
        <v>6.6600000000000006E-2</v>
      </c>
      <c r="K22" s="323">
        <f t="shared" si="2"/>
        <v>5.5500000000000001E-2</v>
      </c>
      <c r="L22" s="323">
        <f t="shared" si="2"/>
        <v>4.7600000000000003E-2</v>
      </c>
      <c r="M22" s="324">
        <f t="shared" si="2"/>
        <v>4.1599999999999998E-2</v>
      </c>
    </row>
    <row r="23" spans="1:16" x14ac:dyDescent="0.25">
      <c r="A23">
        <v>10</v>
      </c>
      <c r="B23" s="322">
        <f t="shared" si="1"/>
        <v>6.25E-2</v>
      </c>
      <c r="C23" s="323">
        <f t="shared" si="1"/>
        <v>0.05</v>
      </c>
      <c r="D23" s="323">
        <f t="shared" si="1"/>
        <v>4.1599999999999998E-2</v>
      </c>
      <c r="E23" s="323">
        <f t="shared" si="1"/>
        <v>3.5700000000000003E-2</v>
      </c>
      <c r="F23" s="324">
        <f t="shared" si="1"/>
        <v>3.1199999999999999E-2</v>
      </c>
      <c r="H23">
        <v>4</v>
      </c>
      <c r="I23" s="322">
        <f t="shared" si="2"/>
        <v>6.25E-2</v>
      </c>
      <c r="J23" s="323">
        <f t="shared" si="2"/>
        <v>0.05</v>
      </c>
      <c r="K23" s="323">
        <f t="shared" si="2"/>
        <v>4.1599999999999998E-2</v>
      </c>
      <c r="L23" s="323">
        <f t="shared" si="2"/>
        <v>3.5700000000000003E-2</v>
      </c>
      <c r="M23" s="324">
        <f t="shared" si="2"/>
        <v>3.1199999999999999E-2</v>
      </c>
    </row>
    <row r="24" spans="1:16" x14ac:dyDescent="0.25">
      <c r="A24" s="19" t="s">
        <v>666</v>
      </c>
      <c r="B24" s="325">
        <f t="shared" si="1"/>
        <v>0.05</v>
      </c>
      <c r="C24" s="326">
        <f t="shared" si="1"/>
        <v>0.04</v>
      </c>
      <c r="D24" s="326">
        <f t="shared" si="1"/>
        <v>3.3300000000000003E-2</v>
      </c>
      <c r="E24" s="326">
        <f t="shared" si="1"/>
        <v>2.8500000000000001E-2</v>
      </c>
      <c r="F24" s="327">
        <f t="shared" si="1"/>
        <v>2.5000000000000001E-2</v>
      </c>
      <c r="H24">
        <v>5</v>
      </c>
      <c r="I24" s="325">
        <f t="shared" si="2"/>
        <v>0.05</v>
      </c>
      <c r="J24" s="326">
        <f t="shared" si="2"/>
        <v>0.04</v>
      </c>
      <c r="K24" s="326">
        <f t="shared" si="2"/>
        <v>3.3300000000000003E-2</v>
      </c>
      <c r="L24" s="326">
        <f t="shared" si="2"/>
        <v>2.8500000000000001E-2</v>
      </c>
      <c r="M24" s="327">
        <f t="shared" si="2"/>
        <v>2.5000000000000001E-2</v>
      </c>
    </row>
    <row r="25" spans="1:16" x14ac:dyDescent="0.25">
      <c r="P25" s="23"/>
    </row>
    <row r="26" spans="1:16" x14ac:dyDescent="0.25">
      <c r="B26" t="s">
        <v>657</v>
      </c>
      <c r="C26">
        <v>4</v>
      </c>
      <c r="D26">
        <v>5</v>
      </c>
      <c r="E26">
        <v>9</v>
      </c>
      <c r="F26">
        <v>20</v>
      </c>
      <c r="H26" s="300" t="s">
        <v>667</v>
      </c>
      <c r="I26">
        <v>4</v>
      </c>
      <c r="J26">
        <v>5</v>
      </c>
      <c r="K26">
        <v>6</v>
      </c>
      <c r="L26">
        <v>7</v>
      </c>
      <c r="M26">
        <v>8</v>
      </c>
    </row>
    <row r="27" spans="1:16" x14ac:dyDescent="0.25">
      <c r="B27" t="s">
        <v>658</v>
      </c>
      <c r="C27">
        <v>2</v>
      </c>
      <c r="D27">
        <v>2</v>
      </c>
      <c r="E27">
        <v>4</v>
      </c>
      <c r="F27">
        <v>4</v>
      </c>
      <c r="H27">
        <v>2</v>
      </c>
      <c r="I27" s="319">
        <f t="shared" ref="I27:M30" si="3">I21*2/3</f>
        <v>8.3333333333333329E-2</v>
      </c>
      <c r="J27" s="320">
        <f t="shared" si="3"/>
        <v>6.6666666666666666E-2</v>
      </c>
      <c r="K27" s="320">
        <f t="shared" si="3"/>
        <v>5.553333333333333E-2</v>
      </c>
      <c r="L27" s="320">
        <f t="shared" si="3"/>
        <v>4.7600000000000003E-2</v>
      </c>
      <c r="M27" s="321">
        <f t="shared" si="3"/>
        <v>4.1666666666666664E-2</v>
      </c>
    </row>
    <row r="28" spans="1:16" x14ac:dyDescent="0.25">
      <c r="B28" t="s">
        <v>660</v>
      </c>
      <c r="C28">
        <f>MATCH(C26,$A$21:$A$23)</f>
        <v>1</v>
      </c>
      <c r="D28">
        <f>MATCH(D26,$A$21:$A$23)</f>
        <v>2</v>
      </c>
      <c r="E28">
        <f>MATCH(E26,$A$21:$A$23)</f>
        <v>2</v>
      </c>
      <c r="F28">
        <f>MATCH(F26,$A$21:$A$23)</f>
        <v>3</v>
      </c>
      <c r="H28">
        <v>3</v>
      </c>
      <c r="I28" s="322">
        <f t="shared" si="3"/>
        <v>5.553333333333333E-2</v>
      </c>
      <c r="J28" s="323">
        <f t="shared" si="3"/>
        <v>4.4400000000000002E-2</v>
      </c>
      <c r="K28" s="323">
        <f t="shared" si="3"/>
        <v>3.6999999999999998E-2</v>
      </c>
      <c r="L28" s="323">
        <f t="shared" si="3"/>
        <v>3.1733333333333336E-2</v>
      </c>
      <c r="M28" s="324">
        <f t="shared" si="3"/>
        <v>2.7733333333333332E-2</v>
      </c>
    </row>
    <row r="29" spans="1:16" x14ac:dyDescent="0.25">
      <c r="B29" s="296" t="s">
        <v>102</v>
      </c>
      <c r="C29" s="323">
        <f>INDEX($B$21:$F$23,C28,C27)</f>
        <v>0.1</v>
      </c>
      <c r="D29" s="323">
        <f>INDEX($B$21:$F$23,D28,D27)</f>
        <v>6.6600000000000006E-2</v>
      </c>
      <c r="E29" s="323">
        <f>INDEX($B$21:$F$23,E28,E27)</f>
        <v>4.7600000000000003E-2</v>
      </c>
      <c r="F29" s="323">
        <f>INDEX($B$21:$F$23,F28,F27)</f>
        <v>3.5700000000000003E-2</v>
      </c>
      <c r="H29">
        <v>4</v>
      </c>
      <c r="I29" s="322">
        <f t="shared" si="3"/>
        <v>4.1666666666666664E-2</v>
      </c>
      <c r="J29" s="323">
        <f t="shared" si="3"/>
        <v>3.3333333333333333E-2</v>
      </c>
      <c r="K29" s="323">
        <f t="shared" si="3"/>
        <v>2.7733333333333332E-2</v>
      </c>
      <c r="L29" s="323">
        <f t="shared" si="3"/>
        <v>2.3800000000000002E-2</v>
      </c>
      <c r="M29" s="324">
        <f t="shared" si="3"/>
        <v>2.0799999999999999E-2</v>
      </c>
    </row>
    <row r="30" spans="1:16" x14ac:dyDescent="0.25">
      <c r="B30" t="s">
        <v>103</v>
      </c>
      <c r="C30">
        <f>INDEX($B$21:$F$24,C28+1,C27)</f>
        <v>6.6600000000000006E-2</v>
      </c>
      <c r="D30">
        <f>INDEX($B$21:$F$24,D28+1,D27)</f>
        <v>0.05</v>
      </c>
      <c r="E30">
        <f>INDEX($B$21:$F$24,E28+1,E27)</f>
        <v>3.5700000000000003E-2</v>
      </c>
      <c r="F30">
        <f>INDEX($B$21:$F$24,F28+1,F27)</f>
        <v>2.8500000000000001E-2</v>
      </c>
      <c r="H30">
        <v>5</v>
      </c>
      <c r="I30" s="325">
        <f t="shared" si="3"/>
        <v>3.3333333333333333E-2</v>
      </c>
      <c r="J30" s="326">
        <f t="shared" si="3"/>
        <v>2.6666666666666668E-2</v>
      </c>
      <c r="K30" s="326">
        <f t="shared" si="3"/>
        <v>2.2200000000000001E-2</v>
      </c>
      <c r="L30" s="326">
        <f t="shared" si="3"/>
        <v>1.9E-2</v>
      </c>
      <c r="M30" s="327">
        <f t="shared" si="3"/>
        <v>1.6666666666666666E-2</v>
      </c>
    </row>
    <row r="31" spans="1:16" x14ac:dyDescent="0.25">
      <c r="B31" t="s">
        <v>668</v>
      </c>
      <c r="C31">
        <f ca="1">IF(C26&gt;$A23,1,(C26-OFFSET($A21,C28-1,0))/(OFFSET($A21,C28,0)-OFFSET($A21,C28-1,0)))</f>
        <v>0.75</v>
      </c>
      <c r="D31">
        <f ca="1">IF(D26&gt;$A23,1,(D26-OFFSET($A21,D28-1,0))/(OFFSET($A21,D28,0)-OFFSET($A21,D28-1,0)))</f>
        <v>0</v>
      </c>
      <c r="E31">
        <f ca="1">IF(E26&gt;$A23,1,(E26-OFFSET($A21,E28-1,0))/(OFFSET($A21,E28,0)-OFFSET($A21,E28-1,0)))</f>
        <v>0.8</v>
      </c>
      <c r="F31">
        <f ca="1">IF(F26&gt;$A23,1,(F26-OFFSET($A21,F28-1,0))/(OFFSET($A21,F28,0)-OFFSET($A21,F28-1,0)))</f>
        <v>1</v>
      </c>
    </row>
    <row r="32" spans="1:16" x14ac:dyDescent="0.25">
      <c r="B32" t="s">
        <v>659</v>
      </c>
      <c r="C32">
        <f ca="1">(1-C31)*C29+C31*C30</f>
        <v>7.4950000000000017E-2</v>
      </c>
      <c r="D32">
        <f ca="1">(1-D31)*D29+D31*D30</f>
        <v>6.6600000000000006E-2</v>
      </c>
      <c r="E32">
        <f ca="1">(1-E31)*E29+E31*E30</f>
        <v>3.8080000000000003E-2</v>
      </c>
      <c r="F32">
        <f ca="1">(1-F31)*F29+F31*F30</f>
        <v>2.8500000000000001E-2</v>
      </c>
      <c r="H32" s="300" t="s">
        <v>669</v>
      </c>
      <c r="I32">
        <v>4</v>
      </c>
      <c r="J32">
        <v>5</v>
      </c>
      <c r="K32">
        <v>6</v>
      </c>
      <c r="L32">
        <v>7</v>
      </c>
      <c r="M32">
        <v>8</v>
      </c>
    </row>
    <row r="33" spans="2:13" x14ac:dyDescent="0.25">
      <c r="B33" t="s">
        <v>670</v>
      </c>
      <c r="C33" t="e">
        <f ca="1">ILookup($A$20:$F$24,C26,C27)</f>
        <v>#NAME?</v>
      </c>
      <c r="D33" t="e">
        <f ca="1">ILookup($A$20:$F$24,D26,D27)</f>
        <v>#NAME?</v>
      </c>
      <c r="E33" t="e">
        <f ca="1">ILookup($A$20:$F$24,E26,E27)</f>
        <v>#NAME?</v>
      </c>
      <c r="F33" t="e">
        <f ca="1">ILookup($A$20:$F$24,F26,F27)</f>
        <v>#NAME?</v>
      </c>
      <c r="H33">
        <v>2</v>
      </c>
      <c r="I33" s="319">
        <f t="shared" ref="I33:M36" si="4">I21*4/7</f>
        <v>7.1428571428571425E-2</v>
      </c>
      <c r="J33" s="320">
        <f t="shared" si="4"/>
        <v>5.7142857142857148E-2</v>
      </c>
      <c r="K33" s="320">
        <f t="shared" si="4"/>
        <v>4.7599999999999996E-2</v>
      </c>
      <c r="L33" s="320">
        <f t="shared" si="4"/>
        <v>4.0800000000000003E-2</v>
      </c>
      <c r="M33" s="321">
        <f t="shared" si="4"/>
        <v>3.5714285714285712E-2</v>
      </c>
    </row>
    <row r="34" spans="2:13" x14ac:dyDescent="0.25">
      <c r="H34">
        <v>3</v>
      </c>
      <c r="I34" s="322">
        <f t="shared" si="4"/>
        <v>4.7599999999999996E-2</v>
      </c>
      <c r="J34" s="323">
        <f t="shared" si="4"/>
        <v>3.8057142857142859E-2</v>
      </c>
      <c r="K34" s="323">
        <f t="shared" si="4"/>
        <v>3.1714285714285716E-2</v>
      </c>
      <c r="L34" s="323">
        <f t="shared" si="4"/>
        <v>2.7200000000000002E-2</v>
      </c>
      <c r="M34" s="324">
        <f t="shared" si="4"/>
        <v>2.3771428571428572E-2</v>
      </c>
    </row>
    <row r="35" spans="2:13" x14ac:dyDescent="0.25">
      <c r="H35">
        <v>4</v>
      </c>
      <c r="I35" s="322">
        <f t="shared" si="4"/>
        <v>3.5714285714285712E-2</v>
      </c>
      <c r="J35" s="323">
        <f t="shared" si="4"/>
        <v>2.8571428571428574E-2</v>
      </c>
      <c r="K35" s="323">
        <f t="shared" si="4"/>
        <v>2.3771428571428572E-2</v>
      </c>
      <c r="L35" s="323">
        <f t="shared" si="4"/>
        <v>2.0400000000000001E-2</v>
      </c>
      <c r="M35" s="324">
        <f t="shared" si="4"/>
        <v>1.7828571428571426E-2</v>
      </c>
    </row>
    <row r="36" spans="2:13" x14ac:dyDescent="0.25">
      <c r="H36">
        <v>5</v>
      </c>
      <c r="I36" s="325">
        <f t="shared" si="4"/>
        <v>2.8571428571428574E-2</v>
      </c>
      <c r="J36" s="326">
        <f t="shared" si="4"/>
        <v>2.2857142857142857E-2</v>
      </c>
      <c r="K36" s="326">
        <f t="shared" si="4"/>
        <v>1.9028571428571429E-2</v>
      </c>
      <c r="L36" s="326">
        <f t="shared" si="4"/>
        <v>1.6285714285714285E-2</v>
      </c>
      <c r="M36" s="327">
        <f t="shared" si="4"/>
        <v>1.4285714285714287E-2</v>
      </c>
    </row>
    <row r="38" spans="2:13" x14ac:dyDescent="0.25">
      <c r="I38" t="s">
        <v>657</v>
      </c>
      <c r="J38">
        <v>4</v>
      </c>
      <c r="K38">
        <v>5</v>
      </c>
      <c r="L38">
        <v>4</v>
      </c>
      <c r="M38">
        <v>5</v>
      </c>
    </row>
    <row r="39" spans="2:13" x14ac:dyDescent="0.25">
      <c r="I39" t="s">
        <v>658</v>
      </c>
      <c r="J39">
        <v>5</v>
      </c>
      <c r="K39">
        <v>8</v>
      </c>
      <c r="L39">
        <v>5</v>
      </c>
      <c r="M39">
        <v>8</v>
      </c>
    </row>
    <row r="40" spans="2:13" x14ac:dyDescent="0.25">
      <c r="I40" s="300" t="s">
        <v>671</v>
      </c>
      <c r="J40">
        <v>0.05</v>
      </c>
      <c r="K40">
        <v>0.05</v>
      </c>
      <c r="L40">
        <v>0.1</v>
      </c>
      <c r="M40">
        <v>0.01</v>
      </c>
    </row>
    <row r="42" spans="2:13" x14ac:dyDescent="0.25">
      <c r="I42" t="s">
        <v>672</v>
      </c>
      <c r="J42">
        <f>IF(J40=0.01,6,IF(J40=0.1,-6,0))</f>
        <v>0</v>
      </c>
      <c r="K42">
        <f>IF(K40=0.01,6,IF(K40=0.1,-6,0))</f>
        <v>0</v>
      </c>
      <c r="L42">
        <f>IF(L40=0.01,6,IF(L40=0.1,-6,0))</f>
        <v>-6</v>
      </c>
      <c r="M42">
        <f>IF(M40=0.01,6,IF(M40=0.1,-6,0))</f>
        <v>6</v>
      </c>
    </row>
    <row r="43" spans="2:13" x14ac:dyDescent="0.25">
      <c r="I43" t="s">
        <v>659</v>
      </c>
      <c r="J43" s="323">
        <f ca="1">INDEX(OFFSET($I$27:$M$36,J42,0),J38-$H$27+1,J39-$I$26+1)</f>
        <v>3.3333333333333333E-2</v>
      </c>
      <c r="K43" s="323">
        <f ca="1">INDEX(OFFSET($I$27:$M$36,K42,0),K38-$H$27+1,K39-$I$26+1)</f>
        <v>1.6666666666666666E-2</v>
      </c>
      <c r="L43" s="323">
        <f ca="1">INDEX(OFFSET($I$27:$M$36,L42,0),L38-$H$27+1,L39-$I$26+1)</f>
        <v>0.05</v>
      </c>
      <c r="M43" s="323">
        <f ca="1">INDEX(OFFSET($I$27:$M$36,M42,0),M38-$H$27+1,M39-$I$26+1)</f>
        <v>1.4285714285714287E-2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23"/>
  <sheetViews>
    <sheetView workbookViewId="0"/>
  </sheetViews>
  <sheetFormatPr defaultRowHeight="15" x14ac:dyDescent="0.25"/>
  <cols>
    <col min="9" max="9" width="9.140625" style="289"/>
  </cols>
  <sheetData>
    <row r="1" spans="1:19" x14ac:dyDescent="0.25">
      <c r="A1" s="1" t="s">
        <v>562</v>
      </c>
      <c r="E1" s="1" t="s">
        <v>563</v>
      </c>
    </row>
    <row r="2" spans="1:19" x14ac:dyDescent="0.25">
      <c r="I2" s="289" t="s">
        <v>673</v>
      </c>
      <c r="K2" s="22" t="s">
        <v>674</v>
      </c>
      <c r="P2" s="22" t="s">
        <v>675</v>
      </c>
    </row>
    <row r="3" spans="1:19" x14ac:dyDescent="0.25">
      <c r="A3" s="286" t="s">
        <v>676</v>
      </c>
      <c r="B3" s="286" t="s">
        <v>677</v>
      </c>
      <c r="C3" s="286" t="s">
        <v>678</v>
      </c>
      <c r="E3" s="310" t="s">
        <v>676</v>
      </c>
      <c r="F3" s="328" t="s">
        <v>678</v>
      </c>
    </row>
    <row r="4" spans="1:19" ht="15.75" x14ac:dyDescent="0.3">
      <c r="A4" s="277">
        <v>2</v>
      </c>
      <c r="B4" s="8">
        <f ca="1">RAND()</f>
        <v>2.3163570354829854E-2</v>
      </c>
      <c r="C4" s="329">
        <f t="shared" ref="C4:C9" ca="1" si="0">INDEX(A$4:A$23,RANK(B4,B$4:B$23))</f>
        <v>19</v>
      </c>
      <c r="E4" s="103">
        <v>2</v>
      </c>
      <c r="F4" s="330">
        <f t="shared" ref="F4:F9" ca="1" si="1">INDEX(E$4:E$23,RANDBETWEEN(1,COUNT(E$4:E$23)))</f>
        <v>5</v>
      </c>
      <c r="I4" s="331" t="e">
        <f t="array" aca="1" ref="I4:I23" ca="1">SHUFFLE(A4:A23)</f>
        <v>#NAME?</v>
      </c>
      <c r="K4" s="308" t="e">
        <f t="array" aca="1" ref="K4:N9" ca="1">RANDOMIZE(E4:E23)</f>
        <v>#NAME?</v>
      </c>
      <c r="L4" s="178" t="e">
        <f ca="1"/>
        <v>#NAME?</v>
      </c>
      <c r="M4" s="178" t="e">
        <f ca="1"/>
        <v>#NAME?</v>
      </c>
      <c r="N4" s="309" t="e">
        <f ca="1"/>
        <v>#NAME?</v>
      </c>
      <c r="P4" s="308" t="e">
        <f t="array" aca="1" ref="P4:S9" ca="1">SHUFFLE(A4:A23)</f>
        <v>#NAME?</v>
      </c>
      <c r="Q4" s="178" t="e">
        <f ca="1"/>
        <v>#NAME?</v>
      </c>
      <c r="R4" s="178" t="e">
        <f ca="1"/>
        <v>#NAME?</v>
      </c>
      <c r="S4" s="309" t="e">
        <f ca="1"/>
        <v>#NAME?</v>
      </c>
    </row>
    <row r="5" spans="1:19" ht="15.75" x14ac:dyDescent="0.3">
      <c r="A5" s="277">
        <v>5</v>
      </c>
      <c r="B5" s="8">
        <f t="shared" ref="B5:B23" ca="1" si="2">RAND()</f>
        <v>0.53498949598942347</v>
      </c>
      <c r="C5" s="329">
        <f t="shared" ca="1" si="0"/>
        <v>21</v>
      </c>
      <c r="E5" s="103">
        <v>5</v>
      </c>
      <c r="F5" s="329">
        <f t="shared" ca="1" si="1"/>
        <v>6</v>
      </c>
      <c r="I5" s="103" t="e">
        <f ca="1"/>
        <v>#NAME?</v>
      </c>
      <c r="K5" s="92" t="e">
        <f ca="1"/>
        <v>#NAME?</v>
      </c>
      <c r="L5" s="8" t="e">
        <f ca="1"/>
        <v>#NAME?</v>
      </c>
      <c r="M5" s="8" t="e">
        <f ca="1"/>
        <v>#NAME?</v>
      </c>
      <c r="N5" s="93" t="e">
        <f ca="1"/>
        <v>#NAME?</v>
      </c>
      <c r="P5" s="92" t="e">
        <f ca="1"/>
        <v>#NAME?</v>
      </c>
      <c r="Q5" s="8" t="e">
        <f ca="1"/>
        <v>#NAME?</v>
      </c>
      <c r="R5" s="8" t="e">
        <f ca="1"/>
        <v>#NAME?</v>
      </c>
      <c r="S5" s="93" t="e">
        <f ca="1"/>
        <v>#NAME?</v>
      </c>
    </row>
    <row r="6" spans="1:19" ht="15.75" x14ac:dyDescent="0.3">
      <c r="A6" s="277">
        <v>7</v>
      </c>
      <c r="B6" s="8">
        <f t="shared" ca="1" si="2"/>
        <v>0.97113413067466181</v>
      </c>
      <c r="C6" s="329">
        <f t="shared" ca="1" si="0"/>
        <v>2</v>
      </c>
      <c r="E6" s="103">
        <v>7</v>
      </c>
      <c r="F6" s="329">
        <f t="shared" ca="1" si="1"/>
        <v>24</v>
      </c>
      <c r="I6" s="103" t="e">
        <f ca="1"/>
        <v>#NAME?</v>
      </c>
      <c r="K6" s="92" t="e">
        <f ca="1"/>
        <v>#NAME?</v>
      </c>
      <c r="L6" s="8" t="e">
        <f ca="1"/>
        <v>#NAME?</v>
      </c>
      <c r="M6" s="8" t="e">
        <f ca="1"/>
        <v>#NAME?</v>
      </c>
      <c r="N6" s="93" t="e">
        <f ca="1"/>
        <v>#NAME?</v>
      </c>
      <c r="P6" s="92" t="e">
        <f ca="1"/>
        <v>#NAME?</v>
      </c>
      <c r="Q6" s="8" t="e">
        <f ca="1"/>
        <v>#NAME?</v>
      </c>
      <c r="R6" s="8" t="e">
        <f ca="1"/>
        <v>#NAME?</v>
      </c>
      <c r="S6" s="93" t="e">
        <f ca="1"/>
        <v>#NAME?</v>
      </c>
    </row>
    <row r="7" spans="1:19" ht="15.75" x14ac:dyDescent="0.3">
      <c r="A7" s="277">
        <v>8</v>
      </c>
      <c r="B7" s="8">
        <f t="shared" ca="1" si="2"/>
        <v>0.2432312420256737</v>
      </c>
      <c r="C7" s="329">
        <f t="shared" ca="1" si="0"/>
        <v>12</v>
      </c>
      <c r="E7" s="103">
        <v>8</v>
      </c>
      <c r="F7" s="329">
        <f t="shared" ca="1" si="1"/>
        <v>22</v>
      </c>
      <c r="I7" s="103" t="e">
        <f ca="1"/>
        <v>#NAME?</v>
      </c>
      <c r="K7" s="92" t="e">
        <f ca="1"/>
        <v>#NAME?</v>
      </c>
      <c r="L7" s="8" t="e">
        <f ca="1"/>
        <v>#NAME?</v>
      </c>
      <c r="M7" s="8" t="e">
        <f ca="1"/>
        <v>#NAME?</v>
      </c>
      <c r="N7" s="93" t="e">
        <f ca="1"/>
        <v>#NAME?</v>
      </c>
      <c r="P7" s="92" t="e">
        <f ca="1"/>
        <v>#NAME?</v>
      </c>
      <c r="Q7" s="8" t="e">
        <f ca="1"/>
        <v>#NAME?</v>
      </c>
      <c r="R7" s="8" t="e">
        <f ca="1"/>
        <v>#NAME?</v>
      </c>
      <c r="S7" s="93" t="e">
        <f ca="1"/>
        <v>#NAME?</v>
      </c>
    </row>
    <row r="8" spans="1:19" ht="15.75" x14ac:dyDescent="0.3">
      <c r="A8" s="277">
        <v>9</v>
      </c>
      <c r="B8" s="8">
        <f t="shared" ca="1" si="2"/>
        <v>0.63562789910845152</v>
      </c>
      <c r="C8" s="329">
        <f t="shared" ca="1" si="0"/>
        <v>11</v>
      </c>
      <c r="E8" s="103">
        <v>9</v>
      </c>
      <c r="F8" s="329">
        <f t="shared" ca="1" si="1"/>
        <v>7</v>
      </c>
      <c r="I8" s="103" t="e">
        <f ca="1"/>
        <v>#NAME?</v>
      </c>
      <c r="K8" s="92" t="e">
        <f ca="1"/>
        <v>#NAME?</v>
      </c>
      <c r="L8" s="8" t="e">
        <f ca="1"/>
        <v>#NAME?</v>
      </c>
      <c r="M8" s="8" t="e">
        <f ca="1"/>
        <v>#NAME?</v>
      </c>
      <c r="N8" s="93" t="e">
        <f ca="1"/>
        <v>#NAME?</v>
      </c>
      <c r="P8" s="92" t="e">
        <f ca="1"/>
        <v>#NAME?</v>
      </c>
      <c r="Q8" s="8" t="e">
        <f ca="1"/>
        <v>#NAME?</v>
      </c>
      <c r="R8" s="8" t="e">
        <f ca="1"/>
        <v>#NAME?</v>
      </c>
      <c r="S8" s="93" t="e">
        <f ca="1"/>
        <v>#NAME?</v>
      </c>
    </row>
    <row r="9" spans="1:19" ht="15.75" x14ac:dyDescent="0.3">
      <c r="A9" s="277">
        <v>11</v>
      </c>
      <c r="B9" s="8">
        <f t="shared" ca="1" si="2"/>
        <v>0.75774761022174364</v>
      </c>
      <c r="C9" s="332">
        <f t="shared" ca="1" si="0"/>
        <v>8</v>
      </c>
      <c r="E9" s="103">
        <v>11</v>
      </c>
      <c r="F9" s="332">
        <f t="shared" ca="1" si="1"/>
        <v>3</v>
      </c>
      <c r="I9" s="103" t="e">
        <f ca="1"/>
        <v>#NAME?</v>
      </c>
      <c r="K9" s="80" t="e">
        <f ca="1"/>
        <v>#NAME?</v>
      </c>
      <c r="L9" s="162" t="e">
        <f ca="1"/>
        <v>#NAME?</v>
      </c>
      <c r="M9" s="162" t="e">
        <f ca="1"/>
        <v>#NAME?</v>
      </c>
      <c r="N9" s="83" t="e">
        <f ca="1"/>
        <v>#NAME?</v>
      </c>
      <c r="P9" s="80" t="e">
        <f ca="1"/>
        <v>#NAME?</v>
      </c>
      <c r="Q9" s="162" t="e">
        <f ca="1"/>
        <v>#NAME?</v>
      </c>
      <c r="R9" s="162" t="e">
        <f ca="1"/>
        <v>#NAME?</v>
      </c>
      <c r="S9" s="83" t="e">
        <f ca="1"/>
        <v>#NAME?</v>
      </c>
    </row>
    <row r="10" spans="1:19" ht="15.75" x14ac:dyDescent="0.3">
      <c r="A10" s="277">
        <v>15</v>
      </c>
      <c r="B10" s="8">
        <f t="shared" ca="1" si="2"/>
        <v>0.61116223230045452</v>
      </c>
      <c r="C10" s="333"/>
      <c r="E10" s="103">
        <v>15</v>
      </c>
      <c r="G10" s="333"/>
      <c r="H10" s="333"/>
      <c r="I10" s="103" t="e">
        <f ca="1"/>
        <v>#NAME?</v>
      </c>
    </row>
    <row r="11" spans="1:19" ht="15.75" x14ac:dyDescent="0.3">
      <c r="A11" s="277">
        <v>17</v>
      </c>
      <c r="B11" s="8">
        <f t="shared" ca="1" si="2"/>
        <v>0.46857850371258314</v>
      </c>
      <c r="C11" s="333"/>
      <c r="E11" s="103">
        <v>17</v>
      </c>
      <c r="G11" s="333"/>
      <c r="H11" s="333"/>
      <c r="I11" s="103" t="e">
        <f ca="1"/>
        <v>#NAME?</v>
      </c>
    </row>
    <row r="12" spans="1:19" ht="15.75" x14ac:dyDescent="0.3">
      <c r="A12" s="277">
        <v>20</v>
      </c>
      <c r="B12" s="8">
        <f t="shared" ca="1" si="2"/>
        <v>0.77221170975500686</v>
      </c>
      <c r="C12" s="333"/>
      <c r="E12" s="103">
        <v>20</v>
      </c>
      <c r="G12" s="333"/>
      <c r="H12" s="333"/>
      <c r="I12" s="103" t="e">
        <f ca="1"/>
        <v>#NAME?</v>
      </c>
    </row>
    <row r="13" spans="1:19" ht="15.75" x14ac:dyDescent="0.3">
      <c r="A13" s="277">
        <v>21</v>
      </c>
      <c r="B13" s="8">
        <f t="shared" ca="1" si="2"/>
        <v>0.40304490677142302</v>
      </c>
      <c r="C13" s="333"/>
      <c r="E13" s="103">
        <v>21</v>
      </c>
      <c r="G13" s="333"/>
      <c r="H13" s="333"/>
      <c r="I13" s="103" t="e">
        <f ca="1"/>
        <v>#NAME?</v>
      </c>
    </row>
    <row r="14" spans="1:19" ht="15.75" x14ac:dyDescent="0.3">
      <c r="A14" s="277">
        <v>1</v>
      </c>
      <c r="B14" s="8">
        <f t="shared" ca="1" si="2"/>
        <v>0.38823402979543775</v>
      </c>
      <c r="C14" s="333"/>
      <c r="E14" s="103">
        <v>1</v>
      </c>
      <c r="G14" s="333"/>
      <c r="H14" s="333"/>
      <c r="I14" s="103" t="e">
        <f ca="1"/>
        <v>#NAME?</v>
      </c>
    </row>
    <row r="15" spans="1:19" ht="15.75" x14ac:dyDescent="0.3">
      <c r="A15" s="277">
        <v>3</v>
      </c>
      <c r="B15" s="8">
        <f t="shared" ca="1" si="2"/>
        <v>0.83716069272694227</v>
      </c>
      <c r="C15" s="333"/>
      <c r="E15" s="103">
        <v>3</v>
      </c>
      <c r="G15" s="333"/>
      <c r="H15" s="333"/>
      <c r="I15" s="103" t="e">
        <f ca="1"/>
        <v>#NAME?</v>
      </c>
    </row>
    <row r="16" spans="1:19" ht="15.75" x14ac:dyDescent="0.3">
      <c r="A16" s="277">
        <v>6</v>
      </c>
      <c r="B16" s="8">
        <f t="shared" ca="1" si="2"/>
        <v>4.6349759342956265E-2</v>
      </c>
      <c r="C16" s="333"/>
      <c r="E16" s="103">
        <v>6</v>
      </c>
      <c r="G16" s="333"/>
      <c r="H16" s="333"/>
      <c r="I16" s="103" t="e">
        <f ca="1"/>
        <v>#NAME?</v>
      </c>
    </row>
    <row r="17" spans="1:9" ht="15.75" x14ac:dyDescent="0.3">
      <c r="A17" s="277">
        <v>10</v>
      </c>
      <c r="B17" s="8">
        <f t="shared" ca="1" si="2"/>
        <v>0.54890268148995003</v>
      </c>
      <c r="C17" s="333"/>
      <c r="E17" s="103">
        <v>10</v>
      </c>
      <c r="G17" s="333"/>
      <c r="H17" s="333"/>
      <c r="I17" s="103" t="e">
        <f ca="1"/>
        <v>#NAME?</v>
      </c>
    </row>
    <row r="18" spans="1:9" ht="15.75" x14ac:dyDescent="0.3">
      <c r="A18" s="277">
        <v>12</v>
      </c>
      <c r="B18" s="8">
        <f t="shared" ca="1" si="2"/>
        <v>4.9401155411764486E-2</v>
      </c>
      <c r="C18" s="333"/>
      <c r="E18" s="103">
        <v>12</v>
      </c>
      <c r="G18" s="333"/>
      <c r="H18" s="333"/>
      <c r="I18" s="103" t="e">
        <f ca="1"/>
        <v>#NAME?</v>
      </c>
    </row>
    <row r="19" spans="1:9" ht="15.75" x14ac:dyDescent="0.3">
      <c r="A19" s="277">
        <v>24</v>
      </c>
      <c r="B19" s="8">
        <f t="shared" ca="1" si="2"/>
        <v>1.514464401555371E-2</v>
      </c>
      <c r="C19" s="333"/>
      <c r="E19" s="103">
        <v>24</v>
      </c>
      <c r="G19" s="333"/>
      <c r="H19" s="333"/>
      <c r="I19" s="103" t="e">
        <f ca="1"/>
        <v>#NAME?</v>
      </c>
    </row>
    <row r="20" spans="1:9" ht="15.75" x14ac:dyDescent="0.3">
      <c r="A20" s="277">
        <v>16</v>
      </c>
      <c r="B20" s="8">
        <f t="shared" ca="1" si="2"/>
        <v>0.58930530090671074</v>
      </c>
      <c r="C20" s="333"/>
      <c r="E20" s="103">
        <v>16</v>
      </c>
      <c r="G20" s="333"/>
      <c r="H20" s="333"/>
      <c r="I20" s="103" t="e">
        <f ca="1"/>
        <v>#NAME?</v>
      </c>
    </row>
    <row r="21" spans="1:9" ht="15.75" x14ac:dyDescent="0.3">
      <c r="A21" s="277">
        <v>18</v>
      </c>
      <c r="B21" s="8">
        <f t="shared" ca="1" si="2"/>
        <v>9.568358393754417E-2</v>
      </c>
      <c r="C21" s="333"/>
      <c r="E21" s="103">
        <v>18</v>
      </c>
      <c r="G21" s="333"/>
      <c r="H21" s="333"/>
      <c r="I21" s="103" t="e">
        <f ca="1"/>
        <v>#NAME?</v>
      </c>
    </row>
    <row r="22" spans="1:9" ht="15.75" x14ac:dyDescent="0.3">
      <c r="A22" s="277">
        <v>19</v>
      </c>
      <c r="B22" s="8">
        <f t="shared" ca="1" si="2"/>
        <v>0.72822858279101754</v>
      </c>
      <c r="C22" s="333"/>
      <c r="E22" s="103">
        <v>19</v>
      </c>
      <c r="G22" s="333"/>
      <c r="H22" s="333"/>
      <c r="I22" s="103" t="e">
        <f ca="1"/>
        <v>#NAME?</v>
      </c>
    </row>
    <row r="23" spans="1:9" ht="15.75" x14ac:dyDescent="0.3">
      <c r="A23" s="281">
        <v>22</v>
      </c>
      <c r="B23" s="162">
        <f t="shared" ca="1" si="2"/>
        <v>0.31017177058162015</v>
      </c>
      <c r="C23" s="333"/>
      <c r="E23" s="102">
        <v>22</v>
      </c>
      <c r="G23" s="333"/>
      <c r="H23" s="333"/>
      <c r="I23" s="102" t="e">
        <f ca="1"/>
        <v>#NAME?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21"/>
  <sheetViews>
    <sheetView workbookViewId="0"/>
  </sheetViews>
  <sheetFormatPr defaultRowHeight="15" x14ac:dyDescent="0.25"/>
  <sheetData>
    <row r="1" spans="1:5" x14ac:dyDescent="0.25">
      <c r="A1" s="1" t="s">
        <v>679</v>
      </c>
    </row>
    <row r="3" spans="1:5" x14ac:dyDescent="0.25">
      <c r="A3" s="289" t="s">
        <v>680</v>
      </c>
      <c r="B3" s="289" t="s">
        <v>681</v>
      </c>
      <c r="C3" s="289" t="s">
        <v>682</v>
      </c>
      <c r="D3" s="289" t="s">
        <v>683</v>
      </c>
      <c r="E3" s="289" t="s">
        <v>684</v>
      </c>
    </row>
    <row r="4" spans="1:5" x14ac:dyDescent="0.25">
      <c r="A4" s="289">
        <v>1</v>
      </c>
      <c r="B4" s="335">
        <v>56</v>
      </c>
      <c r="C4" s="336">
        <v>67</v>
      </c>
      <c r="D4" s="336">
        <v>50</v>
      </c>
      <c r="E4" s="234">
        <v>123</v>
      </c>
    </row>
    <row r="5" spans="1:5" x14ac:dyDescent="0.25">
      <c r="A5" s="289">
        <f>A4+1</f>
        <v>2</v>
      </c>
      <c r="B5" s="337">
        <v>12</v>
      </c>
      <c r="C5" s="277">
        <v>18</v>
      </c>
      <c r="D5" s="277">
        <v>24</v>
      </c>
      <c r="E5" s="89">
        <v>29</v>
      </c>
    </row>
    <row r="6" spans="1:5" x14ac:dyDescent="0.25">
      <c r="A6" s="289">
        <f t="shared" ref="A6:A18" si="0">A5+1</f>
        <v>3</v>
      </c>
      <c r="B6" s="337">
        <v>23</v>
      </c>
      <c r="C6" s="277">
        <v>24</v>
      </c>
      <c r="D6" s="277">
        <v>26</v>
      </c>
      <c r="E6" s="89">
        <v>27</v>
      </c>
    </row>
    <row r="7" spans="1:5" x14ac:dyDescent="0.25">
      <c r="A7" s="289">
        <f t="shared" si="0"/>
        <v>4</v>
      </c>
      <c r="B7" s="337">
        <v>8</v>
      </c>
      <c r="C7" s="277">
        <v>20</v>
      </c>
      <c r="D7" s="277">
        <v>28</v>
      </c>
      <c r="E7" s="89">
        <v>30</v>
      </c>
    </row>
    <row r="8" spans="1:5" x14ac:dyDescent="0.25">
      <c r="A8" s="289">
        <f t="shared" si="0"/>
        <v>5</v>
      </c>
      <c r="B8" s="337">
        <v>3</v>
      </c>
      <c r="C8" s="277">
        <v>12</v>
      </c>
      <c r="D8" s="277">
        <v>13</v>
      </c>
      <c r="E8" s="89">
        <v>17</v>
      </c>
    </row>
    <row r="9" spans="1:5" x14ac:dyDescent="0.25">
      <c r="A9" s="289">
        <f t="shared" si="0"/>
        <v>6</v>
      </c>
      <c r="B9" s="337">
        <v>5</v>
      </c>
      <c r="C9" s="277">
        <v>13</v>
      </c>
      <c r="D9" s="277">
        <v>11</v>
      </c>
      <c r="E9" s="89">
        <v>15</v>
      </c>
    </row>
    <row r="10" spans="1:5" x14ac:dyDescent="0.25">
      <c r="A10" s="289">
        <f t="shared" si="0"/>
        <v>7</v>
      </c>
      <c r="B10" s="337">
        <v>19</v>
      </c>
      <c r="C10" s="277">
        <v>22</v>
      </c>
      <c r="D10" s="277">
        <v>25</v>
      </c>
      <c r="E10" s="89">
        <v>26</v>
      </c>
    </row>
    <row r="11" spans="1:5" x14ac:dyDescent="0.25">
      <c r="A11" s="289">
        <f t="shared" si="0"/>
        <v>8</v>
      </c>
      <c r="B11" s="337">
        <v>45</v>
      </c>
      <c r="C11" s="277">
        <v>78</v>
      </c>
      <c r="D11" s="277">
        <v>48</v>
      </c>
      <c r="E11" s="89">
        <v>117</v>
      </c>
    </row>
    <row r="12" spans="1:5" x14ac:dyDescent="0.25">
      <c r="A12" s="289">
        <f t="shared" si="0"/>
        <v>9</v>
      </c>
      <c r="B12" s="337">
        <v>12</v>
      </c>
      <c r="C12" s="277">
        <v>20</v>
      </c>
      <c r="D12" s="277">
        <v>22</v>
      </c>
      <c r="E12" s="89">
        <v>24</v>
      </c>
    </row>
    <row r="13" spans="1:5" x14ac:dyDescent="0.25">
      <c r="A13" s="289">
        <f t="shared" si="0"/>
        <v>10</v>
      </c>
      <c r="B13" s="337">
        <v>16</v>
      </c>
      <c r="C13" s="277">
        <v>22</v>
      </c>
      <c r="D13" s="277">
        <v>26</v>
      </c>
      <c r="E13" s="89">
        <v>29</v>
      </c>
    </row>
    <row r="14" spans="1:5" x14ac:dyDescent="0.25">
      <c r="A14" s="289">
        <f t="shared" si="0"/>
        <v>11</v>
      </c>
      <c r="B14" s="337">
        <v>35</v>
      </c>
      <c r="C14" s="277">
        <v>56</v>
      </c>
      <c r="D14" s="277">
        <v>22</v>
      </c>
      <c r="E14" s="89">
        <v>102</v>
      </c>
    </row>
    <row r="15" spans="1:5" x14ac:dyDescent="0.25">
      <c r="A15" s="289">
        <f t="shared" si="0"/>
        <v>12</v>
      </c>
      <c r="B15" s="337">
        <v>24</v>
      </c>
      <c r="C15" s="277">
        <v>26</v>
      </c>
      <c r="D15" s="277">
        <v>21</v>
      </c>
      <c r="E15" s="89">
        <v>23</v>
      </c>
    </row>
    <row r="16" spans="1:5" x14ac:dyDescent="0.25">
      <c r="A16" s="289">
        <f t="shared" si="0"/>
        <v>13</v>
      </c>
      <c r="B16" s="337">
        <v>9</v>
      </c>
      <c r="C16" s="277">
        <v>12</v>
      </c>
      <c r="D16" s="277">
        <v>20</v>
      </c>
      <c r="E16" s="89">
        <v>23</v>
      </c>
    </row>
    <row r="17" spans="1:5" x14ac:dyDescent="0.25">
      <c r="A17" s="289">
        <f t="shared" si="0"/>
        <v>14</v>
      </c>
      <c r="B17" s="337">
        <v>3</v>
      </c>
      <c r="C17" s="277">
        <v>9</v>
      </c>
      <c r="D17" s="277">
        <v>13</v>
      </c>
      <c r="E17" s="89">
        <v>16</v>
      </c>
    </row>
    <row r="18" spans="1:5" x14ac:dyDescent="0.25">
      <c r="A18" s="289">
        <f t="shared" si="0"/>
        <v>15</v>
      </c>
      <c r="B18" s="338">
        <v>2</v>
      </c>
      <c r="C18" s="339">
        <v>8</v>
      </c>
      <c r="D18" s="339">
        <v>6</v>
      </c>
      <c r="E18" s="340">
        <v>10</v>
      </c>
    </row>
    <row r="19" spans="1:5" x14ac:dyDescent="0.25">
      <c r="A19" t="s">
        <v>63</v>
      </c>
      <c r="B19">
        <f>AVERAGE(B4:B18)</f>
        <v>18.133333333333333</v>
      </c>
      <c r="C19">
        <f>AVERAGE(C4:C18)</f>
        <v>27.133333333333333</v>
      </c>
      <c r="D19">
        <f>AVERAGE(D4:D18)</f>
        <v>23.666666666666668</v>
      </c>
      <c r="E19">
        <f>AVERAGE(E4:E18)</f>
        <v>40.733333333333334</v>
      </c>
    </row>
    <row r="20" spans="1:5" x14ac:dyDescent="0.25">
      <c r="A20" t="s">
        <v>685</v>
      </c>
      <c r="B20">
        <f>STDEV(B4:B18)</f>
        <v>16.159325775656903</v>
      </c>
      <c r="C20">
        <f>STDEV(C4:C18)</f>
        <v>21.731697279933446</v>
      </c>
      <c r="D20">
        <f>STDEV(D4:D18)</f>
        <v>12.08107532268469</v>
      </c>
      <c r="E20">
        <f>STDEV(E4:E18)</f>
        <v>38.568059817616415</v>
      </c>
    </row>
    <row r="21" spans="1:5" x14ac:dyDescent="0.25">
      <c r="A21" t="s">
        <v>686</v>
      </c>
      <c r="B21">
        <f>B20/SQRT($A$18)</f>
        <v>4.1723199743372952</v>
      </c>
      <c r="C21">
        <f>C20/SQRT($A$18)</f>
        <v>5.6111001100002165</v>
      </c>
      <c r="D21">
        <f>D20/SQRT($A$18)</f>
        <v>3.1193202352690133</v>
      </c>
      <c r="E21">
        <f>E20/SQRT($A$18)</f>
        <v>9.9582302246106558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16"/>
  <sheetViews>
    <sheetView workbookViewId="0"/>
  </sheetViews>
  <sheetFormatPr defaultRowHeight="15" x14ac:dyDescent="0.25"/>
  <cols>
    <col min="1" max="1" width="7.42578125" customWidth="1"/>
    <col min="3" max="3" width="7.140625" customWidth="1"/>
  </cols>
  <sheetData>
    <row r="1" spans="1:11" x14ac:dyDescent="0.25">
      <c r="A1" s="1" t="s">
        <v>713</v>
      </c>
    </row>
    <row r="2" spans="1:11" x14ac:dyDescent="0.25">
      <c r="A2" s="1"/>
    </row>
    <row r="3" spans="1:11" x14ac:dyDescent="0.25">
      <c r="B3" s="351" t="s">
        <v>178</v>
      </c>
      <c r="D3" s="289" t="s">
        <v>714</v>
      </c>
    </row>
    <row r="4" spans="1:11" x14ac:dyDescent="0.25">
      <c r="B4" s="331">
        <v>6</v>
      </c>
      <c r="D4" s="331">
        <f>B4/$B$9</f>
        <v>0.7385489458759964</v>
      </c>
    </row>
    <row r="5" spans="1:11" x14ac:dyDescent="0.25">
      <c r="B5" s="103">
        <v>-1</v>
      </c>
      <c r="D5" s="103">
        <f>B5/$B$9</f>
        <v>-0.12309149097933272</v>
      </c>
    </row>
    <row r="6" spans="1:11" x14ac:dyDescent="0.25">
      <c r="B6" s="103">
        <v>2</v>
      </c>
      <c r="D6" s="103">
        <f>B6/$B$9</f>
        <v>0.24618298195866545</v>
      </c>
    </row>
    <row r="7" spans="1:11" x14ac:dyDescent="0.25">
      <c r="B7" s="102">
        <v>5</v>
      </c>
      <c r="D7" s="102">
        <f>B7/$B$9</f>
        <v>0.61545745489666359</v>
      </c>
    </row>
    <row r="9" spans="1:11" x14ac:dyDescent="0.25">
      <c r="A9" t="s">
        <v>715</v>
      </c>
      <c r="B9">
        <f>SQRT(SUMSQ(B4:B7))</f>
        <v>8.1240384046359608</v>
      </c>
      <c r="D9">
        <f>SQRT(SUMSQ(D4:D7))</f>
        <v>0.99999999999999989</v>
      </c>
    </row>
    <row r="11" spans="1:11" ht="17.25" x14ac:dyDescent="0.25">
      <c r="A11" t="s">
        <v>716</v>
      </c>
      <c r="B11">
        <f t="array" ref="B11">MMULT(TRANSPOSE(B4:B7),B4:B7)</f>
        <v>66</v>
      </c>
    </row>
    <row r="12" spans="1:11" ht="17.25" x14ac:dyDescent="0.25">
      <c r="A12" t="s">
        <v>717</v>
      </c>
      <c r="B12">
        <f>SQRT(B11)</f>
        <v>8.1240384046359608</v>
      </c>
    </row>
    <row r="14" spans="1:11" x14ac:dyDescent="0.25">
      <c r="A14" t="s">
        <v>718</v>
      </c>
      <c r="J14" s="8"/>
      <c r="K14" s="8"/>
    </row>
    <row r="16" spans="1:11" x14ac:dyDescent="0.25">
      <c r="A16" t="s">
        <v>719</v>
      </c>
      <c r="B16" t="e">
        <f ca="1">LENGTH(B4:B7)</f>
        <v>#NAME?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6"/>
  <sheetViews>
    <sheetView workbookViewId="0"/>
  </sheetViews>
  <sheetFormatPr defaultRowHeight="15" x14ac:dyDescent="0.25"/>
  <sheetData>
    <row r="1" spans="1:5" x14ac:dyDescent="0.25">
      <c r="A1" s="1" t="s">
        <v>720</v>
      </c>
    </row>
    <row r="3" spans="1:5" ht="17.25" x14ac:dyDescent="0.25">
      <c r="A3" s="19" t="s">
        <v>178</v>
      </c>
      <c r="D3" t="s">
        <v>721</v>
      </c>
    </row>
    <row r="5" spans="1:5" x14ac:dyDescent="0.25">
      <c r="A5" s="308">
        <v>1</v>
      </c>
      <c r="B5" s="309">
        <v>1</v>
      </c>
      <c r="D5" s="308">
        <f t="array" ref="D5:E6">MINVERSE(A5:B6)</f>
        <v>0.66666666666666674</v>
      </c>
      <c r="E5" s="309">
        <v>-0.33333333333333331</v>
      </c>
    </row>
    <row r="6" spans="1:5" x14ac:dyDescent="0.25">
      <c r="A6" s="80">
        <v>-1</v>
      </c>
      <c r="B6" s="83">
        <v>2</v>
      </c>
      <c r="D6" s="80">
        <v>0.33333333333333331</v>
      </c>
      <c r="E6" s="83">
        <v>0.33333333333333331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H11"/>
  <sheetViews>
    <sheetView workbookViewId="0"/>
  </sheetViews>
  <sheetFormatPr defaultRowHeight="15" x14ac:dyDescent="0.25"/>
  <sheetData>
    <row r="1" spans="1:8" x14ac:dyDescent="0.25">
      <c r="A1" s="1" t="s">
        <v>572</v>
      </c>
    </row>
    <row r="3" spans="1:8" x14ac:dyDescent="0.25">
      <c r="A3" s="19" t="s">
        <v>178</v>
      </c>
      <c r="D3" t="s">
        <v>722</v>
      </c>
      <c r="G3" t="s">
        <v>723</v>
      </c>
    </row>
    <row r="5" spans="1:8" x14ac:dyDescent="0.25">
      <c r="A5" s="308">
        <v>1</v>
      </c>
      <c r="B5" s="309">
        <v>1</v>
      </c>
      <c r="D5" s="308">
        <f t="array" ref="D5:E6">MMULT(A5:B6,A5:B6)</f>
        <v>0</v>
      </c>
      <c r="E5" s="309">
        <v>3</v>
      </c>
      <c r="G5" s="308">
        <f t="array" ref="G5:H6">MMULT(D5:E6,A5:B6)</f>
        <v>-3</v>
      </c>
      <c r="H5" s="309">
        <v>6</v>
      </c>
    </row>
    <row r="6" spans="1:8" x14ac:dyDescent="0.25">
      <c r="A6" s="80">
        <v>-1</v>
      </c>
      <c r="B6" s="83">
        <v>2</v>
      </c>
      <c r="D6" s="80">
        <v>-3</v>
      </c>
      <c r="E6" s="83">
        <v>3</v>
      </c>
      <c r="G6" s="80">
        <v>-6</v>
      </c>
      <c r="H6" s="83">
        <v>3</v>
      </c>
    </row>
    <row r="8" spans="1:8" x14ac:dyDescent="0.25">
      <c r="A8" s="19" t="s">
        <v>178</v>
      </c>
      <c r="D8" t="s">
        <v>722</v>
      </c>
      <c r="G8" t="s">
        <v>723</v>
      </c>
    </row>
    <row r="10" spans="1:8" x14ac:dyDescent="0.25">
      <c r="A10" s="308">
        <v>1</v>
      </c>
      <c r="B10" s="309">
        <v>1</v>
      </c>
      <c r="D10" s="308" t="e">
        <f t="array" aca="1" ref="D10:E11" ca="1">MPOWER(A10:B11,2)</f>
        <v>#NAME?</v>
      </c>
      <c r="E10" s="309" t="e">
        <f ca="1"/>
        <v>#NAME?</v>
      </c>
      <c r="G10" s="308" t="e">
        <f t="array" aca="1" ref="G10:H11" ca="1">MPOWER(A10:B11,3)</f>
        <v>#NAME?</v>
      </c>
      <c r="H10" s="309" t="e">
        <f ca="1"/>
        <v>#NAME?</v>
      </c>
    </row>
    <row r="11" spans="1:8" x14ac:dyDescent="0.25">
      <c r="A11" s="80">
        <v>-1</v>
      </c>
      <c r="B11" s="83">
        <v>2</v>
      </c>
      <c r="D11" s="80" t="e">
        <f ca="1"/>
        <v>#NAME?</v>
      </c>
      <c r="E11" s="83" t="e">
        <f ca="1"/>
        <v>#NAME?</v>
      </c>
      <c r="G11" s="80" t="e">
        <f ca="1"/>
        <v>#NAME?</v>
      </c>
      <c r="H11" s="83" t="e">
        <f ca="1"/>
        <v>#NAME?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8"/>
  <sheetViews>
    <sheetView workbookViewId="0"/>
  </sheetViews>
  <sheetFormatPr defaultRowHeight="15" x14ac:dyDescent="0.25"/>
  <cols>
    <col min="1" max="4" width="4" customWidth="1"/>
    <col min="5" max="5" width="7.140625" customWidth="1"/>
    <col min="6" max="6" width="3.5703125" customWidth="1"/>
    <col min="7" max="7" width="6.140625" customWidth="1"/>
  </cols>
  <sheetData>
    <row r="1" spans="1:9" x14ac:dyDescent="0.25">
      <c r="A1" s="1" t="s">
        <v>724</v>
      </c>
    </row>
    <row r="2" spans="1:9" s="352" customFormat="1" x14ac:dyDescent="0.25"/>
    <row r="3" spans="1:9" x14ac:dyDescent="0.25">
      <c r="A3" t="s">
        <v>136</v>
      </c>
      <c r="F3" s="383" t="s">
        <v>725</v>
      </c>
      <c r="G3" s="383"/>
      <c r="I3" t="s">
        <v>718</v>
      </c>
    </row>
    <row r="5" spans="1:9" x14ac:dyDescent="0.25">
      <c r="A5" s="317">
        <v>2</v>
      </c>
      <c r="B5" s="297">
        <v>1</v>
      </c>
      <c r="C5" s="297">
        <v>4</v>
      </c>
      <c r="D5" s="318">
        <v>2</v>
      </c>
      <c r="F5">
        <v>1</v>
      </c>
      <c r="G5" s="343">
        <f t="array" ref="G5:G8">INDEX(A5:D8,F5:F8,F5:F8)</f>
        <v>2</v>
      </c>
      <c r="I5" s="343" t="e">
        <f t="array" aca="1" ref="I5:I8" ca="1">DIAG(A5:D8)</f>
        <v>#NAME?</v>
      </c>
    </row>
    <row r="6" spans="1:9" x14ac:dyDescent="0.25">
      <c r="A6" s="66">
        <v>0</v>
      </c>
      <c r="B6" s="277">
        <v>4</v>
      </c>
      <c r="C6" s="277">
        <v>7</v>
      </c>
      <c r="D6" s="89">
        <v>5</v>
      </c>
      <c r="F6">
        <f>F5+1</f>
        <v>2</v>
      </c>
      <c r="G6" s="91">
        <v>4</v>
      </c>
      <c r="I6" s="91" t="e">
        <f ca="1"/>
        <v>#NAME?</v>
      </c>
    </row>
    <row r="7" spans="1:9" x14ac:dyDescent="0.25">
      <c r="A7" s="66">
        <v>8</v>
      </c>
      <c r="B7" s="277">
        <v>5</v>
      </c>
      <c r="C7" s="277">
        <v>9</v>
      </c>
      <c r="D7" s="89">
        <v>0</v>
      </c>
      <c r="F7">
        <f>F6+1</f>
        <v>3</v>
      </c>
      <c r="G7" s="91">
        <v>9</v>
      </c>
      <c r="I7" s="91" t="e">
        <f ca="1"/>
        <v>#NAME?</v>
      </c>
    </row>
    <row r="8" spans="1:9" x14ac:dyDescent="0.25">
      <c r="A8" s="87">
        <v>7</v>
      </c>
      <c r="B8" s="353">
        <v>6</v>
      </c>
      <c r="C8" s="353">
        <v>8</v>
      </c>
      <c r="D8" s="82">
        <v>3</v>
      </c>
      <c r="F8">
        <f>F7+1</f>
        <v>4</v>
      </c>
      <c r="G8" s="85">
        <v>3</v>
      </c>
      <c r="I8" s="85" t="e">
        <f ca="1"/>
        <v>#NAME?</v>
      </c>
    </row>
  </sheetData>
  <mergeCells count="1">
    <mergeCell ref="F3:G3"/>
  </mergeCells>
  <pageMargins left="0.7" right="0.7" top="0.75" bottom="0.75" header="0.3" footer="0.3"/>
  <pageSetup paperSize="9" orientation="portrait" horizontalDpi="300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5"/>
  <sheetViews>
    <sheetView workbookViewId="0"/>
  </sheetViews>
  <sheetFormatPr defaultRowHeight="15" x14ac:dyDescent="0.25"/>
  <cols>
    <col min="1" max="3" width="5" customWidth="1"/>
    <col min="5" max="5" width="5.42578125" customWidth="1"/>
    <col min="6" max="6" width="5.140625" customWidth="1"/>
  </cols>
  <sheetData>
    <row r="1" spans="1:6" x14ac:dyDescent="0.25">
      <c r="A1" s="1" t="s">
        <v>726</v>
      </c>
    </row>
    <row r="3" spans="1:6" x14ac:dyDescent="0.25">
      <c r="A3" s="308">
        <v>6</v>
      </c>
      <c r="B3" s="178">
        <v>7</v>
      </c>
      <c r="C3" s="309">
        <v>8</v>
      </c>
      <c r="E3" t="s">
        <v>727</v>
      </c>
      <c r="F3">
        <f>MDETERM(A3:C5)</f>
        <v>-12.000000000000002</v>
      </c>
    </row>
    <row r="4" spans="1:6" x14ac:dyDescent="0.25">
      <c r="A4" s="68">
        <v>6</v>
      </c>
      <c r="B4" s="8">
        <v>4</v>
      </c>
      <c r="C4" s="93">
        <v>8</v>
      </c>
    </row>
    <row r="5" spans="1:6" x14ac:dyDescent="0.25">
      <c r="A5" s="80">
        <v>1</v>
      </c>
      <c r="B5" s="334">
        <v>1</v>
      </c>
      <c r="C5" s="83">
        <v>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Z18"/>
  <sheetViews>
    <sheetView workbookViewId="0"/>
  </sheetViews>
  <sheetFormatPr defaultRowHeight="15" x14ac:dyDescent="0.25"/>
  <cols>
    <col min="1" max="4" width="4.85546875" customWidth="1"/>
    <col min="5" max="5" width="3.7109375" customWidth="1"/>
    <col min="6" max="6" width="5.7109375" style="289" customWidth="1"/>
    <col min="7" max="7" width="1.85546875" style="289" customWidth="1"/>
    <col min="8" max="8" width="5.7109375" style="289" customWidth="1"/>
    <col min="9" max="9" width="5.7109375" customWidth="1"/>
    <col min="10" max="12" width="4.85546875" customWidth="1"/>
    <col min="13" max="13" width="4.7109375" customWidth="1"/>
    <col min="14" max="14" width="3.7109375" customWidth="1"/>
    <col min="15" max="15" width="5.7109375" customWidth="1"/>
    <col min="16" max="16" width="1.85546875" customWidth="1"/>
    <col min="17" max="18" width="5.7109375" customWidth="1"/>
    <col min="19" max="22" width="4.85546875" customWidth="1"/>
    <col min="23" max="23" width="3.7109375" customWidth="1"/>
    <col min="24" max="24" width="5.7109375" customWidth="1"/>
    <col min="25" max="25" width="1.85546875" customWidth="1"/>
    <col min="26" max="26" width="5.7109375" customWidth="1"/>
  </cols>
  <sheetData>
    <row r="1" spans="1:26" x14ac:dyDescent="0.25">
      <c r="A1" s="1" t="s">
        <v>726</v>
      </c>
    </row>
    <row r="2" spans="1:26" x14ac:dyDescent="0.25">
      <c r="F2" s="289" t="s">
        <v>728</v>
      </c>
      <c r="H2" s="289" t="s">
        <v>729</v>
      </c>
      <c r="O2" s="289" t="s">
        <v>728</v>
      </c>
      <c r="P2" s="289"/>
      <c r="Q2" s="289" t="s">
        <v>729</v>
      </c>
      <c r="X2" s="289" t="s">
        <v>728</v>
      </c>
      <c r="Z2" s="289" t="s">
        <v>729</v>
      </c>
    </row>
    <row r="3" spans="1:26" x14ac:dyDescent="0.25">
      <c r="A3" s="354">
        <v>2</v>
      </c>
      <c r="B3" s="355">
        <v>4</v>
      </c>
      <c r="C3" s="355">
        <v>6</v>
      </c>
      <c r="D3" s="356">
        <v>5</v>
      </c>
      <c r="F3" s="289">
        <v>1</v>
      </c>
      <c r="J3" s="354">
        <f>A3/$A3</f>
        <v>1</v>
      </c>
      <c r="K3" s="355">
        <f>B3/$A3</f>
        <v>2</v>
      </c>
      <c r="L3" s="355">
        <f>C3/$A3</f>
        <v>3</v>
      </c>
      <c r="M3" s="356">
        <f>D3/$A3</f>
        <v>2.5</v>
      </c>
      <c r="O3" s="289">
        <f>A3</f>
        <v>2</v>
      </c>
      <c r="P3" s="289"/>
      <c r="Q3" s="289">
        <v>3</v>
      </c>
      <c r="S3" s="354">
        <f>J3</f>
        <v>1</v>
      </c>
      <c r="T3" s="355">
        <f>K3</f>
        <v>2</v>
      </c>
      <c r="U3" s="355">
        <f>L3</f>
        <v>3</v>
      </c>
      <c r="V3" s="356">
        <f>M3</f>
        <v>2.5</v>
      </c>
      <c r="X3" s="289">
        <f>O3</f>
        <v>2</v>
      </c>
      <c r="Y3" s="289"/>
      <c r="Z3" s="289">
        <v>4</v>
      </c>
    </row>
    <row r="4" spans="1:26" x14ac:dyDescent="0.25">
      <c r="A4" s="357">
        <v>4</v>
      </c>
      <c r="B4" s="58">
        <v>8</v>
      </c>
      <c r="C4" s="58">
        <v>7</v>
      </c>
      <c r="D4" s="358">
        <v>0</v>
      </c>
      <c r="J4" s="357">
        <f t="shared" ref="J4:M6" si="0">A4</f>
        <v>4</v>
      </c>
      <c r="K4" s="58">
        <f t="shared" si="0"/>
        <v>8</v>
      </c>
      <c r="L4" s="58">
        <f t="shared" si="0"/>
        <v>7</v>
      </c>
      <c r="M4" s="358">
        <f t="shared" si="0"/>
        <v>0</v>
      </c>
      <c r="O4" s="289"/>
      <c r="P4" s="289"/>
      <c r="Q4" s="289"/>
      <c r="S4" s="357">
        <f t="shared" ref="S4:V6" si="1">-$J4*J$3+J4</f>
        <v>0</v>
      </c>
      <c r="T4" s="58">
        <f t="shared" si="1"/>
        <v>0</v>
      </c>
      <c r="U4" s="58">
        <f t="shared" si="1"/>
        <v>-5</v>
      </c>
      <c r="V4" s="358">
        <f t="shared" si="1"/>
        <v>-10</v>
      </c>
      <c r="X4" s="289"/>
      <c r="Y4" s="289"/>
      <c r="Z4" s="289"/>
    </row>
    <row r="5" spans="1:26" x14ac:dyDescent="0.25">
      <c r="A5" s="357">
        <v>2</v>
      </c>
      <c r="B5" s="58">
        <v>3</v>
      </c>
      <c r="C5" s="58">
        <v>4</v>
      </c>
      <c r="D5" s="358">
        <v>3</v>
      </c>
      <c r="J5" s="357">
        <f t="shared" si="0"/>
        <v>2</v>
      </c>
      <c r="K5" s="58">
        <f t="shared" si="0"/>
        <v>3</v>
      </c>
      <c r="L5" s="58">
        <f t="shared" si="0"/>
        <v>4</v>
      </c>
      <c r="M5" s="358">
        <f t="shared" si="0"/>
        <v>3</v>
      </c>
      <c r="O5" s="289"/>
      <c r="P5" s="289"/>
      <c r="Q5" s="289"/>
      <c r="S5" s="357">
        <f t="shared" si="1"/>
        <v>0</v>
      </c>
      <c r="T5" s="58">
        <f t="shared" si="1"/>
        <v>-1</v>
      </c>
      <c r="U5" s="58">
        <f t="shared" si="1"/>
        <v>-2</v>
      </c>
      <c r="V5" s="358">
        <f t="shared" si="1"/>
        <v>-2</v>
      </c>
      <c r="X5" s="289"/>
      <c r="Y5" s="289"/>
      <c r="Z5" s="289"/>
    </row>
    <row r="6" spans="1:26" x14ac:dyDescent="0.25">
      <c r="A6" s="359">
        <v>3</v>
      </c>
      <c r="B6" s="360">
        <v>1</v>
      </c>
      <c r="C6" s="360">
        <v>1</v>
      </c>
      <c r="D6" s="361">
        <v>2</v>
      </c>
      <c r="J6" s="359">
        <f t="shared" si="0"/>
        <v>3</v>
      </c>
      <c r="K6" s="360">
        <f t="shared" si="0"/>
        <v>1</v>
      </c>
      <c r="L6" s="360">
        <f t="shared" si="0"/>
        <v>1</v>
      </c>
      <c r="M6" s="361">
        <f t="shared" si="0"/>
        <v>2</v>
      </c>
      <c r="O6" s="289"/>
      <c r="P6" s="289"/>
      <c r="Q6" s="289"/>
      <c r="S6" s="359">
        <f t="shared" si="1"/>
        <v>0</v>
      </c>
      <c r="T6" s="360">
        <f t="shared" si="1"/>
        <v>-5</v>
      </c>
      <c r="U6" s="360">
        <f t="shared" si="1"/>
        <v>-8</v>
      </c>
      <c r="V6" s="361">
        <f t="shared" si="1"/>
        <v>-5.5</v>
      </c>
      <c r="X6" s="289"/>
      <c r="Y6" s="289"/>
      <c r="Z6" s="289"/>
    </row>
    <row r="8" spans="1:26" x14ac:dyDescent="0.25">
      <c r="A8" s="354">
        <f>S3</f>
        <v>1</v>
      </c>
      <c r="B8" s="355">
        <f>T3</f>
        <v>2</v>
      </c>
      <c r="C8" s="355">
        <f>U3</f>
        <v>3</v>
      </c>
      <c r="D8" s="356">
        <f>V3</f>
        <v>2.5</v>
      </c>
      <c r="F8" s="289">
        <f>-X3</f>
        <v>-2</v>
      </c>
      <c r="H8" s="289">
        <v>2</v>
      </c>
      <c r="J8" s="354">
        <f>A8</f>
        <v>1</v>
      </c>
      <c r="K8" s="355">
        <f>B8</f>
        <v>2</v>
      </c>
      <c r="L8" s="355">
        <f>C8</f>
        <v>3</v>
      </c>
      <c r="M8" s="356">
        <f>D8</f>
        <v>2.5</v>
      </c>
      <c r="O8" s="289">
        <f>F8*B9</f>
        <v>2</v>
      </c>
      <c r="P8" s="289"/>
      <c r="Q8" s="289">
        <v>3</v>
      </c>
      <c r="S8" s="354">
        <f t="shared" ref="S8:V9" si="2">J8</f>
        <v>1</v>
      </c>
      <c r="T8" s="355">
        <f t="shared" si="2"/>
        <v>2</v>
      </c>
      <c r="U8" s="355">
        <f t="shared" si="2"/>
        <v>3</v>
      </c>
      <c r="V8" s="356">
        <f t="shared" si="2"/>
        <v>2.5</v>
      </c>
      <c r="X8" s="289">
        <f>O8</f>
        <v>2</v>
      </c>
      <c r="Y8" s="289"/>
      <c r="Z8" s="289">
        <v>4</v>
      </c>
    </row>
    <row r="9" spans="1:26" x14ac:dyDescent="0.25">
      <c r="A9" s="357">
        <f>S5</f>
        <v>0</v>
      </c>
      <c r="B9" s="58">
        <f>T5</f>
        <v>-1</v>
      </c>
      <c r="C9" s="58">
        <f>U5</f>
        <v>-2</v>
      </c>
      <c r="D9" s="358">
        <f>V5</f>
        <v>-2</v>
      </c>
      <c r="J9" s="357">
        <f>A9/$B9</f>
        <v>0</v>
      </c>
      <c r="K9" s="58">
        <f>B9/$B9</f>
        <v>1</v>
      </c>
      <c r="L9" s="58">
        <f>C9/$B9</f>
        <v>2</v>
      </c>
      <c r="M9" s="358">
        <f>D9/$B9</f>
        <v>2</v>
      </c>
      <c r="O9" s="289"/>
      <c r="P9" s="289"/>
      <c r="Q9" s="289"/>
      <c r="S9" s="357">
        <f t="shared" si="2"/>
        <v>0</v>
      </c>
      <c r="T9" s="58">
        <f t="shared" si="2"/>
        <v>1</v>
      </c>
      <c r="U9" s="58">
        <f t="shared" si="2"/>
        <v>2</v>
      </c>
      <c r="V9" s="358">
        <f t="shared" si="2"/>
        <v>2</v>
      </c>
      <c r="X9" s="289"/>
      <c r="Y9" s="289"/>
      <c r="Z9" s="289"/>
    </row>
    <row r="10" spans="1:26" x14ac:dyDescent="0.25">
      <c r="A10" s="357">
        <f>S4</f>
        <v>0</v>
      </c>
      <c r="B10" s="58">
        <f>T4</f>
        <v>0</v>
      </c>
      <c r="C10" s="58">
        <f>U4</f>
        <v>-5</v>
      </c>
      <c r="D10" s="358">
        <f>V4</f>
        <v>-10</v>
      </c>
      <c r="J10" s="357">
        <f t="shared" ref="J10:M11" si="3">A10</f>
        <v>0</v>
      </c>
      <c r="K10" s="58">
        <f t="shared" si="3"/>
        <v>0</v>
      </c>
      <c r="L10" s="58">
        <f t="shared" si="3"/>
        <v>-5</v>
      </c>
      <c r="M10" s="358">
        <f t="shared" si="3"/>
        <v>-10</v>
      </c>
      <c r="O10" s="289"/>
      <c r="P10" s="289"/>
      <c r="Q10" s="289"/>
      <c r="S10" s="357">
        <f t="shared" ref="S10:V11" si="4">-$K10*J$9+J10</f>
        <v>0</v>
      </c>
      <c r="T10" s="58">
        <f t="shared" si="4"/>
        <v>0</v>
      </c>
      <c r="U10" s="58">
        <f t="shared" si="4"/>
        <v>-5</v>
      </c>
      <c r="V10" s="358">
        <f t="shared" si="4"/>
        <v>-10</v>
      </c>
      <c r="X10" s="289"/>
      <c r="Y10" s="289"/>
      <c r="Z10" s="289"/>
    </row>
    <row r="11" spans="1:26" x14ac:dyDescent="0.25">
      <c r="A11" s="359">
        <f>S6</f>
        <v>0</v>
      </c>
      <c r="B11" s="360">
        <f>T6</f>
        <v>-5</v>
      </c>
      <c r="C11" s="360">
        <f>U6</f>
        <v>-8</v>
      </c>
      <c r="D11" s="361">
        <f>V6</f>
        <v>-5.5</v>
      </c>
      <c r="J11" s="359">
        <f t="shared" si="3"/>
        <v>0</v>
      </c>
      <c r="K11" s="360">
        <f t="shared" si="3"/>
        <v>-5</v>
      </c>
      <c r="L11" s="360">
        <f t="shared" si="3"/>
        <v>-8</v>
      </c>
      <c r="M11" s="361">
        <f t="shared" si="3"/>
        <v>-5.5</v>
      </c>
      <c r="O11" s="289"/>
      <c r="P11" s="289"/>
      <c r="Q11" s="289"/>
      <c r="S11" s="359">
        <f t="shared" si="4"/>
        <v>0</v>
      </c>
      <c r="T11" s="360">
        <f t="shared" si="4"/>
        <v>0</v>
      </c>
      <c r="U11" s="360">
        <f t="shared" si="4"/>
        <v>2</v>
      </c>
      <c r="V11" s="361">
        <f t="shared" si="4"/>
        <v>4.5</v>
      </c>
      <c r="X11" s="289"/>
      <c r="Y11" s="289"/>
      <c r="Z11" s="289"/>
    </row>
    <row r="13" spans="1:26" x14ac:dyDescent="0.25">
      <c r="A13" s="354">
        <f t="shared" ref="A13:D14" si="5">S8</f>
        <v>1</v>
      </c>
      <c r="B13" s="355">
        <f t="shared" si="5"/>
        <v>2</v>
      </c>
      <c r="C13" s="355">
        <f t="shared" si="5"/>
        <v>3</v>
      </c>
      <c r="D13" s="356">
        <f t="shared" si="5"/>
        <v>2.5</v>
      </c>
      <c r="F13" s="289">
        <f>X8*U10</f>
        <v>-10</v>
      </c>
      <c r="H13" s="289">
        <v>3</v>
      </c>
      <c r="J13" s="354">
        <f t="shared" ref="J13:M15" si="6">A13</f>
        <v>1</v>
      </c>
      <c r="K13" s="355">
        <f t="shared" si="6"/>
        <v>2</v>
      </c>
      <c r="L13" s="355">
        <f t="shared" si="6"/>
        <v>3</v>
      </c>
      <c r="M13" s="356">
        <f t="shared" si="6"/>
        <v>2.5</v>
      </c>
      <c r="O13" s="351">
        <f>F13</f>
        <v>-10</v>
      </c>
      <c r="P13" s="289"/>
      <c r="Q13" s="289">
        <v>4</v>
      </c>
      <c r="S13" s="354">
        <f t="shared" ref="S13:V15" si="7">J13</f>
        <v>1</v>
      </c>
      <c r="T13" s="355">
        <f t="shared" si="7"/>
        <v>2</v>
      </c>
      <c r="U13" s="355">
        <f t="shared" si="7"/>
        <v>3</v>
      </c>
      <c r="V13" s="356">
        <f t="shared" si="7"/>
        <v>2.5</v>
      </c>
      <c r="X13" s="289">
        <f>O13*M16</f>
        <v>-5</v>
      </c>
      <c r="Z13" s="289">
        <v>2</v>
      </c>
    </row>
    <row r="14" spans="1:26" x14ac:dyDescent="0.25">
      <c r="A14" s="357">
        <f t="shared" si="5"/>
        <v>0</v>
      </c>
      <c r="B14" s="58">
        <f t="shared" si="5"/>
        <v>1</v>
      </c>
      <c r="C14" s="58">
        <f t="shared" si="5"/>
        <v>2</v>
      </c>
      <c r="D14" s="358">
        <f t="shared" si="5"/>
        <v>2</v>
      </c>
      <c r="J14" s="357">
        <f t="shared" si="6"/>
        <v>0</v>
      </c>
      <c r="K14" s="58">
        <f t="shared" si="6"/>
        <v>1</v>
      </c>
      <c r="L14" s="58">
        <f t="shared" si="6"/>
        <v>2</v>
      </c>
      <c r="M14" s="358">
        <f t="shared" si="6"/>
        <v>2</v>
      </c>
      <c r="S14" s="357">
        <f t="shared" si="7"/>
        <v>0</v>
      </c>
      <c r="T14" s="58">
        <f t="shared" si="7"/>
        <v>1</v>
      </c>
      <c r="U14" s="58">
        <f t="shared" si="7"/>
        <v>2</v>
      </c>
      <c r="V14" s="358">
        <f t="shared" si="7"/>
        <v>2</v>
      </c>
    </row>
    <row r="15" spans="1:26" x14ac:dyDescent="0.25">
      <c r="A15" s="357">
        <f>S10/$U10</f>
        <v>0</v>
      </c>
      <c r="B15" s="58">
        <f>T10/$U10</f>
        <v>0</v>
      </c>
      <c r="C15" s="58">
        <f>U10/$U10</f>
        <v>1</v>
      </c>
      <c r="D15" s="358">
        <f>V10/$U10</f>
        <v>2</v>
      </c>
      <c r="J15" s="357">
        <f t="shared" si="6"/>
        <v>0</v>
      </c>
      <c r="K15" s="58">
        <f t="shared" si="6"/>
        <v>0</v>
      </c>
      <c r="L15" s="58">
        <f t="shared" si="6"/>
        <v>1</v>
      </c>
      <c r="M15" s="358">
        <f t="shared" si="6"/>
        <v>2</v>
      </c>
      <c r="S15" s="357">
        <f t="shared" si="7"/>
        <v>0</v>
      </c>
      <c r="T15" s="58">
        <f t="shared" si="7"/>
        <v>0</v>
      </c>
      <c r="U15" s="58">
        <f t="shared" si="7"/>
        <v>1</v>
      </c>
      <c r="V15" s="358">
        <f t="shared" si="7"/>
        <v>2</v>
      </c>
    </row>
    <row r="16" spans="1:26" x14ac:dyDescent="0.25">
      <c r="A16" s="359">
        <f>S11</f>
        <v>0</v>
      </c>
      <c r="B16" s="360">
        <f>T11</f>
        <v>0</v>
      </c>
      <c r="C16" s="360">
        <f>U11</f>
        <v>2</v>
      </c>
      <c r="D16" s="361">
        <f>V11</f>
        <v>4.5</v>
      </c>
      <c r="J16" s="359">
        <f>-$C16*A15+A16</f>
        <v>0</v>
      </c>
      <c r="K16" s="360">
        <f>-$C16*B15+B16</f>
        <v>0</v>
      </c>
      <c r="L16" s="360">
        <f>-$C16*C15+C16</f>
        <v>0</v>
      </c>
      <c r="M16" s="361">
        <f>-$C16*D15+D16</f>
        <v>0.5</v>
      </c>
      <c r="S16" s="359">
        <f>J16/$M16</f>
        <v>0</v>
      </c>
      <c r="T16" s="360">
        <f>K16/$M16</f>
        <v>0</v>
      </c>
      <c r="U16" s="360">
        <f>L16/$M16</f>
        <v>0</v>
      </c>
      <c r="V16" s="361">
        <f>M16/$M16</f>
        <v>1</v>
      </c>
    </row>
    <row r="18" spans="1:6" x14ac:dyDescent="0.25">
      <c r="A18" t="s">
        <v>730</v>
      </c>
      <c r="F18" s="289">
        <f>MDETERM(A3:D6)</f>
        <v>-5.0000000000000044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30"/>
  <sheetViews>
    <sheetView workbookViewId="0"/>
  </sheetViews>
  <sheetFormatPr defaultRowHeight="15" x14ac:dyDescent="0.25"/>
  <cols>
    <col min="1" max="4" width="4.85546875" customWidth="1"/>
    <col min="5" max="5" width="3.7109375" customWidth="1"/>
    <col min="6" max="6" width="4.85546875" style="289" customWidth="1"/>
    <col min="7" max="7" width="4.85546875" customWidth="1"/>
  </cols>
  <sheetData>
    <row r="1" spans="1:8" x14ac:dyDescent="0.25">
      <c r="A1" s="1" t="s">
        <v>731</v>
      </c>
    </row>
    <row r="2" spans="1:8" x14ac:dyDescent="0.25">
      <c r="A2" s="1"/>
    </row>
    <row r="3" spans="1:8" ht="17.25" x14ac:dyDescent="0.25">
      <c r="A3" t="s">
        <v>178</v>
      </c>
      <c r="F3" s="289" t="s">
        <v>147</v>
      </c>
      <c r="H3" s="289" t="s">
        <v>732</v>
      </c>
    </row>
    <row r="4" spans="1:8" x14ac:dyDescent="0.25">
      <c r="A4" s="308">
        <v>1</v>
      </c>
      <c r="B4" s="178">
        <v>2</v>
      </c>
      <c r="C4" s="309">
        <v>0</v>
      </c>
      <c r="E4" s="343" t="s">
        <v>28</v>
      </c>
      <c r="F4" s="331">
        <v>0</v>
      </c>
      <c r="H4" s="343">
        <f t="array" ref="H4:H6">MMULT(MINVERSE(A4:C6),F4:F6)</f>
        <v>-0.66666666666666663</v>
      </c>
    </row>
    <row r="5" spans="1:8" x14ac:dyDescent="0.25">
      <c r="A5" s="68">
        <v>-1</v>
      </c>
      <c r="B5" s="8">
        <v>1</v>
      </c>
      <c r="C5" s="93">
        <v>1</v>
      </c>
      <c r="E5" s="91" t="s">
        <v>606</v>
      </c>
      <c r="F5" s="103">
        <v>1</v>
      </c>
      <c r="H5" s="91">
        <v>0.33333333333333331</v>
      </c>
    </row>
    <row r="6" spans="1:8" x14ac:dyDescent="0.25">
      <c r="A6" s="80">
        <v>1</v>
      </c>
      <c r="B6" s="334">
        <v>2</v>
      </c>
      <c r="C6" s="83">
        <v>3</v>
      </c>
      <c r="E6" s="85" t="s">
        <v>616</v>
      </c>
      <c r="F6" s="102">
        <v>0</v>
      </c>
      <c r="H6" s="85">
        <v>0</v>
      </c>
    </row>
    <row r="8" spans="1:8" x14ac:dyDescent="0.25">
      <c r="A8" t="s">
        <v>733</v>
      </c>
      <c r="B8" s="383">
        <f>C20/C15</f>
        <v>-0.66666666666666663</v>
      </c>
      <c r="C8" s="383"/>
    </row>
    <row r="9" spans="1:8" x14ac:dyDescent="0.25">
      <c r="A9" t="s">
        <v>734</v>
      </c>
      <c r="B9" s="383">
        <f>C25/C15</f>
        <v>0.33333333333333331</v>
      </c>
      <c r="C9" s="383"/>
    </row>
    <row r="10" spans="1:8" x14ac:dyDescent="0.25">
      <c r="A10" s="296" t="s">
        <v>735</v>
      </c>
      <c r="B10" s="383">
        <f>C30/C15</f>
        <v>0</v>
      </c>
      <c r="C10" s="383"/>
    </row>
    <row r="12" spans="1:8" x14ac:dyDescent="0.25">
      <c r="A12" s="308">
        <v>1</v>
      </c>
      <c r="B12" s="178">
        <v>2</v>
      </c>
      <c r="C12" s="309">
        <v>0</v>
      </c>
    </row>
    <row r="13" spans="1:8" x14ac:dyDescent="0.25">
      <c r="A13" s="68">
        <v>-1</v>
      </c>
      <c r="B13" s="8">
        <v>1</v>
      </c>
      <c r="C13" s="93">
        <v>1</v>
      </c>
    </row>
    <row r="14" spans="1:8" x14ac:dyDescent="0.25">
      <c r="A14" s="80">
        <v>1</v>
      </c>
      <c r="B14" s="334">
        <v>2</v>
      </c>
      <c r="C14" s="83">
        <v>3</v>
      </c>
    </row>
    <row r="15" spans="1:8" x14ac:dyDescent="0.25">
      <c r="A15" t="s">
        <v>736</v>
      </c>
      <c r="C15">
        <f>MDETERM(A4:C6)</f>
        <v>9</v>
      </c>
    </row>
    <row r="17" spans="1:3" x14ac:dyDescent="0.25">
      <c r="A17" s="317">
        <v>0</v>
      </c>
      <c r="B17" s="178">
        <v>2</v>
      </c>
      <c r="C17" s="309">
        <v>0</v>
      </c>
    </row>
    <row r="18" spans="1:3" x14ac:dyDescent="0.25">
      <c r="A18" s="66">
        <v>1</v>
      </c>
      <c r="B18" s="8">
        <v>1</v>
      </c>
      <c r="C18" s="93">
        <v>1</v>
      </c>
    </row>
    <row r="19" spans="1:3" x14ac:dyDescent="0.25">
      <c r="A19" s="87">
        <v>0</v>
      </c>
      <c r="B19" s="334">
        <v>2</v>
      </c>
      <c r="C19" s="83">
        <v>3</v>
      </c>
    </row>
    <row r="20" spans="1:3" ht="18" x14ac:dyDescent="0.35">
      <c r="A20" t="s">
        <v>737</v>
      </c>
      <c r="C20">
        <f>MDETERM(A17:C19)</f>
        <v>-6</v>
      </c>
    </row>
    <row r="22" spans="1:3" x14ac:dyDescent="0.25">
      <c r="A22" s="308">
        <v>1</v>
      </c>
      <c r="B22" s="362">
        <v>0</v>
      </c>
      <c r="C22" s="309">
        <v>0</v>
      </c>
    </row>
    <row r="23" spans="1:3" x14ac:dyDescent="0.25">
      <c r="A23" s="68">
        <v>-1</v>
      </c>
      <c r="B23" s="41">
        <v>1</v>
      </c>
      <c r="C23" s="93">
        <v>1</v>
      </c>
    </row>
    <row r="24" spans="1:3" x14ac:dyDescent="0.25">
      <c r="A24" s="80">
        <v>1</v>
      </c>
      <c r="B24" s="341">
        <v>0</v>
      </c>
      <c r="C24" s="83">
        <v>3</v>
      </c>
    </row>
    <row r="25" spans="1:3" ht="18" x14ac:dyDescent="0.35">
      <c r="A25" t="s">
        <v>738</v>
      </c>
      <c r="C25">
        <f>MDETERM(A22:C24)</f>
        <v>3</v>
      </c>
    </row>
    <row r="27" spans="1:3" x14ac:dyDescent="0.25">
      <c r="A27" s="308">
        <v>1</v>
      </c>
      <c r="B27" s="178">
        <v>2</v>
      </c>
      <c r="C27" s="318">
        <v>0</v>
      </c>
    </row>
    <row r="28" spans="1:3" x14ac:dyDescent="0.25">
      <c r="A28" s="68">
        <v>-1</v>
      </c>
      <c r="B28" s="8">
        <v>1</v>
      </c>
      <c r="C28" s="89">
        <v>1</v>
      </c>
    </row>
    <row r="29" spans="1:3" x14ac:dyDescent="0.25">
      <c r="A29" s="80">
        <v>1</v>
      </c>
      <c r="B29" s="334">
        <v>2</v>
      </c>
      <c r="C29" s="82">
        <v>0</v>
      </c>
    </row>
    <row r="30" spans="1:3" ht="18" x14ac:dyDescent="0.35">
      <c r="A30" t="s">
        <v>739</v>
      </c>
      <c r="C30">
        <f>MDETERM(A27:C29)</f>
        <v>0</v>
      </c>
    </row>
  </sheetData>
  <mergeCells count="3">
    <mergeCell ref="B8:C8"/>
    <mergeCell ref="B9:C9"/>
    <mergeCell ref="B10:C1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45"/>
  <sheetViews>
    <sheetView workbookViewId="0"/>
  </sheetViews>
  <sheetFormatPr defaultRowHeight="15" x14ac:dyDescent="0.25"/>
  <cols>
    <col min="1" max="12" width="4.85546875" customWidth="1"/>
    <col min="13" max="13" width="4.85546875" style="289" customWidth="1"/>
    <col min="14" max="19" width="4.85546875" customWidth="1"/>
    <col min="20" max="20" width="4.85546875" style="289" customWidth="1"/>
    <col min="21" max="26" width="4.85546875" customWidth="1"/>
  </cols>
  <sheetData>
    <row r="1" spans="1:20" x14ac:dyDescent="0.25">
      <c r="A1" s="1" t="s">
        <v>740</v>
      </c>
    </row>
    <row r="3" spans="1:20" x14ac:dyDescent="0.25">
      <c r="A3" t="s">
        <v>741</v>
      </c>
    </row>
    <row r="5" spans="1:20" x14ac:dyDescent="0.25">
      <c r="F5" s="289" t="s">
        <v>729</v>
      </c>
      <c r="I5" s="363"/>
      <c r="M5" s="289" t="s">
        <v>729</v>
      </c>
      <c r="T5" s="289" t="s">
        <v>729</v>
      </c>
    </row>
    <row r="6" spans="1:20" x14ac:dyDescent="0.25">
      <c r="A6" s="308">
        <v>1</v>
      </c>
      <c r="B6" s="178">
        <v>2</v>
      </c>
      <c r="C6" s="178">
        <v>0</v>
      </c>
      <c r="D6" s="343">
        <v>4</v>
      </c>
      <c r="F6" s="289">
        <v>3</v>
      </c>
      <c r="H6" s="308">
        <f>A6</f>
        <v>1</v>
      </c>
      <c r="I6" s="178">
        <f>B6</f>
        <v>2</v>
      </c>
      <c r="J6" s="178">
        <f>C6</f>
        <v>0</v>
      </c>
      <c r="K6" s="343">
        <f>D6</f>
        <v>4</v>
      </c>
      <c r="M6" s="289">
        <v>2</v>
      </c>
      <c r="O6" s="308">
        <f>H6</f>
        <v>1</v>
      </c>
      <c r="P6" s="178">
        <f>I6</f>
        <v>2</v>
      </c>
      <c r="Q6" s="178">
        <f>J6</f>
        <v>0</v>
      </c>
      <c r="R6" s="343">
        <f>K6</f>
        <v>4</v>
      </c>
      <c r="T6" s="289">
        <v>3</v>
      </c>
    </row>
    <row r="7" spans="1:20" x14ac:dyDescent="0.25">
      <c r="A7" s="68">
        <v>-1</v>
      </c>
      <c r="B7" s="8">
        <v>2</v>
      </c>
      <c r="C7" s="8">
        <v>1</v>
      </c>
      <c r="D7" s="91">
        <v>3</v>
      </c>
      <c r="H7" s="68">
        <f>A6+A7</f>
        <v>0</v>
      </c>
      <c r="I7" s="8">
        <f>B6+B7</f>
        <v>4</v>
      </c>
      <c r="J7" s="8">
        <f>C6+C7</f>
        <v>1</v>
      </c>
      <c r="K7" s="91">
        <f>D6+D7</f>
        <v>7</v>
      </c>
      <c r="O7" s="68">
        <f>H7/$I7</f>
        <v>0</v>
      </c>
      <c r="P7" s="8">
        <f>I7/$I7</f>
        <v>1</v>
      </c>
      <c r="Q7" s="8">
        <f>J7/$I7</f>
        <v>0.25</v>
      </c>
      <c r="R7" s="91">
        <f>K7/$I7</f>
        <v>1.75</v>
      </c>
    </row>
    <row r="8" spans="1:20" x14ac:dyDescent="0.25">
      <c r="A8" s="80">
        <v>1</v>
      </c>
      <c r="B8" s="334">
        <v>1</v>
      </c>
      <c r="C8" s="334">
        <v>3</v>
      </c>
      <c r="D8" s="85">
        <v>-1</v>
      </c>
      <c r="H8" s="80">
        <f>-H6+A8</f>
        <v>0</v>
      </c>
      <c r="I8" s="334">
        <f>-I6+B8</f>
        <v>-1</v>
      </c>
      <c r="J8" s="334">
        <f>-J6+C8</f>
        <v>3</v>
      </c>
      <c r="K8" s="85">
        <f>-K6+D8</f>
        <v>-5</v>
      </c>
      <c r="O8" s="80">
        <f>H8</f>
        <v>0</v>
      </c>
      <c r="P8" s="334">
        <f>I8</f>
        <v>-1</v>
      </c>
      <c r="Q8" s="334">
        <f>J8</f>
        <v>3</v>
      </c>
      <c r="R8" s="85">
        <f>K8</f>
        <v>-5</v>
      </c>
    </row>
    <row r="9" spans="1:20" x14ac:dyDescent="0.25">
      <c r="F9" s="289" t="s">
        <v>729</v>
      </c>
      <c r="M9" s="289" t="s">
        <v>729</v>
      </c>
    </row>
    <row r="10" spans="1:20" x14ac:dyDescent="0.25">
      <c r="A10" s="308">
        <f>O6-$P6*O7</f>
        <v>1</v>
      </c>
      <c r="B10" s="178">
        <f>P6-$P6*P7</f>
        <v>0</v>
      </c>
      <c r="C10" s="178">
        <f>Q6-$P6*Q7</f>
        <v>-0.5</v>
      </c>
      <c r="D10" s="343">
        <f>R6-$P6*R7</f>
        <v>0.5</v>
      </c>
      <c r="F10" s="289">
        <v>2</v>
      </c>
      <c r="H10" s="308">
        <f t="shared" ref="H10:K11" si="0">A10</f>
        <v>1</v>
      </c>
      <c r="I10" s="178">
        <f t="shared" si="0"/>
        <v>0</v>
      </c>
      <c r="J10" s="178">
        <f t="shared" si="0"/>
        <v>-0.5</v>
      </c>
      <c r="K10" s="343">
        <f t="shared" si="0"/>
        <v>0.5</v>
      </c>
      <c r="M10" s="289">
        <v>3</v>
      </c>
      <c r="O10" s="308">
        <f>H10-H12*$J10</f>
        <v>1</v>
      </c>
      <c r="P10" s="178">
        <f>I10-I12*$J10</f>
        <v>0</v>
      </c>
      <c r="Q10" s="178">
        <f>J10-J12*$J10</f>
        <v>0</v>
      </c>
      <c r="R10" s="343">
        <f>K10-K12*$J10</f>
        <v>0</v>
      </c>
    </row>
    <row r="11" spans="1:20" x14ac:dyDescent="0.25">
      <c r="A11" s="68">
        <f>O7</f>
        <v>0</v>
      </c>
      <c r="B11" s="8">
        <f>P7</f>
        <v>1</v>
      </c>
      <c r="C11" s="8">
        <f>Q7</f>
        <v>0.25</v>
      </c>
      <c r="D11" s="91">
        <f>R7</f>
        <v>1.75</v>
      </c>
      <c r="H11" s="68">
        <f t="shared" si="0"/>
        <v>0</v>
      </c>
      <c r="I11" s="8">
        <f t="shared" si="0"/>
        <v>1</v>
      </c>
      <c r="J11" s="8">
        <f t="shared" si="0"/>
        <v>0.25</v>
      </c>
      <c r="K11" s="91">
        <f t="shared" si="0"/>
        <v>1.75</v>
      </c>
      <c r="O11" s="68">
        <f>H11-$J11*H12</f>
        <v>0</v>
      </c>
      <c r="P11" s="8">
        <f>I11-$J11*I12</f>
        <v>1</v>
      </c>
      <c r="Q11" s="8">
        <f>J11-$J11*J12</f>
        <v>0</v>
      </c>
      <c r="R11" s="91">
        <f>K11-$J11*K12</f>
        <v>2</v>
      </c>
    </row>
    <row r="12" spans="1:20" x14ac:dyDescent="0.25">
      <c r="A12" s="80">
        <f>O7+O8</f>
        <v>0</v>
      </c>
      <c r="B12" s="334">
        <f>P7+P8</f>
        <v>0</v>
      </c>
      <c r="C12" s="334">
        <f>Q7+Q8</f>
        <v>3.25</v>
      </c>
      <c r="D12" s="85">
        <f>R7+R8</f>
        <v>-3.25</v>
      </c>
      <c r="H12" s="80">
        <f>A12/$C12</f>
        <v>0</v>
      </c>
      <c r="I12" s="334">
        <f>B12/$C12</f>
        <v>0</v>
      </c>
      <c r="J12" s="334">
        <f>C12/$C12</f>
        <v>1</v>
      </c>
      <c r="K12" s="85">
        <f>D12/$C12</f>
        <v>-1</v>
      </c>
      <c r="O12" s="80">
        <f>H12</f>
        <v>0</v>
      </c>
      <c r="P12" s="334">
        <f>I12</f>
        <v>0</v>
      </c>
      <c r="Q12" s="334">
        <f>J12</f>
        <v>1</v>
      </c>
      <c r="R12" s="85">
        <f>K12</f>
        <v>-1</v>
      </c>
    </row>
    <row r="13" spans="1:20" x14ac:dyDescent="0.25">
      <c r="A13" s="8"/>
      <c r="B13" s="8"/>
      <c r="C13" s="8"/>
      <c r="D13" s="8"/>
      <c r="H13" s="8"/>
      <c r="I13" s="8"/>
      <c r="J13" s="8"/>
      <c r="K13" s="8"/>
      <c r="O13" s="8"/>
      <c r="P13" s="8"/>
      <c r="Q13" s="8"/>
      <c r="R13" s="8"/>
    </row>
    <row r="14" spans="1:20" x14ac:dyDescent="0.25">
      <c r="A14" s="8" t="s">
        <v>742</v>
      </c>
      <c r="B14" s="8"/>
      <c r="C14" s="8"/>
      <c r="D14" s="8"/>
      <c r="H14" s="8"/>
      <c r="I14" s="8"/>
      <c r="J14" s="8"/>
      <c r="K14" s="8"/>
      <c r="O14" s="8"/>
      <c r="P14" s="8"/>
      <c r="Q14" s="8"/>
      <c r="R14" s="8"/>
    </row>
    <row r="15" spans="1:20" x14ac:dyDescent="0.25">
      <c r="A15" s="8"/>
      <c r="B15" s="8"/>
      <c r="C15" s="8"/>
      <c r="D15" s="8"/>
      <c r="H15" s="8"/>
      <c r="I15" s="8"/>
      <c r="J15" s="8"/>
      <c r="K15" s="8"/>
      <c r="O15" s="8"/>
      <c r="P15" s="8"/>
      <c r="Q15" s="8"/>
      <c r="R15" s="8"/>
    </row>
    <row r="16" spans="1:20" x14ac:dyDescent="0.25">
      <c r="F16" s="289" t="s">
        <v>729</v>
      </c>
      <c r="I16" s="363"/>
      <c r="M16" s="289" t="s">
        <v>729</v>
      </c>
      <c r="T16" s="289" t="s">
        <v>729</v>
      </c>
    </row>
    <row r="17" spans="1:20" x14ac:dyDescent="0.25">
      <c r="A17" s="308">
        <v>1</v>
      </c>
      <c r="B17" s="178">
        <v>2</v>
      </c>
      <c r="C17" s="178">
        <v>4</v>
      </c>
      <c r="D17" s="343">
        <v>0</v>
      </c>
      <c r="F17" s="289">
        <v>3</v>
      </c>
      <c r="H17" s="308">
        <f>A17</f>
        <v>1</v>
      </c>
      <c r="I17" s="178">
        <f>B17</f>
        <v>2</v>
      </c>
      <c r="J17" s="178">
        <f>C17</f>
        <v>4</v>
      </c>
      <c r="K17" s="343">
        <f>D17</f>
        <v>0</v>
      </c>
      <c r="M17" s="289">
        <v>1</v>
      </c>
      <c r="O17" s="308">
        <f>H17</f>
        <v>1</v>
      </c>
      <c r="P17" s="178">
        <f>I17</f>
        <v>2</v>
      </c>
      <c r="Q17" s="178">
        <f>J17</f>
        <v>4</v>
      </c>
      <c r="R17" s="343">
        <f>K17</f>
        <v>0</v>
      </c>
      <c r="T17" s="289">
        <v>2</v>
      </c>
    </row>
    <row r="18" spans="1:20" x14ac:dyDescent="0.25">
      <c r="A18" s="68">
        <v>-1</v>
      </c>
      <c r="B18" s="8">
        <v>-2</v>
      </c>
      <c r="C18" s="8">
        <v>1</v>
      </c>
      <c r="D18" s="91">
        <v>0</v>
      </c>
      <c r="H18" s="68">
        <f>A17+A18</f>
        <v>0</v>
      </c>
      <c r="I18" s="8">
        <f>B17+B18</f>
        <v>0</v>
      </c>
      <c r="J18" s="8">
        <f>C17+C18</f>
        <v>5</v>
      </c>
      <c r="K18" s="91">
        <f>D17+D18</f>
        <v>0</v>
      </c>
      <c r="O18" s="68">
        <f>H19</f>
        <v>0</v>
      </c>
      <c r="P18" s="8">
        <f>I19</f>
        <v>-1</v>
      </c>
      <c r="Q18" s="8">
        <f>J19</f>
        <v>-2</v>
      </c>
      <c r="R18" s="91">
        <f>K19</f>
        <v>0</v>
      </c>
    </row>
    <row r="19" spans="1:20" x14ac:dyDescent="0.25">
      <c r="A19" s="80">
        <v>1</v>
      </c>
      <c r="B19" s="334">
        <v>1</v>
      </c>
      <c r="C19" s="334">
        <v>2</v>
      </c>
      <c r="D19" s="85">
        <v>0</v>
      </c>
      <c r="H19" s="80">
        <f>-H17+A19</f>
        <v>0</v>
      </c>
      <c r="I19" s="334">
        <f>-I17+B19</f>
        <v>-1</v>
      </c>
      <c r="J19" s="334">
        <f>-J17+C19</f>
        <v>-2</v>
      </c>
      <c r="K19" s="85">
        <f>-K17+D19</f>
        <v>0</v>
      </c>
      <c r="O19" s="80">
        <f>H18</f>
        <v>0</v>
      </c>
      <c r="P19" s="334">
        <f>I18</f>
        <v>0</v>
      </c>
      <c r="Q19" s="334">
        <f>J18</f>
        <v>5</v>
      </c>
      <c r="R19" s="85">
        <f>K18</f>
        <v>0</v>
      </c>
    </row>
    <row r="20" spans="1:20" x14ac:dyDescent="0.25">
      <c r="F20" s="289" t="s">
        <v>729</v>
      </c>
      <c r="M20" s="289" t="s">
        <v>729</v>
      </c>
    </row>
    <row r="21" spans="1:20" x14ac:dyDescent="0.25">
      <c r="A21" s="308">
        <f>O17</f>
        <v>1</v>
      </c>
      <c r="B21" s="178">
        <f>P17</f>
        <v>2</v>
      </c>
      <c r="C21" s="178">
        <f>Q17</f>
        <v>4</v>
      </c>
      <c r="D21" s="343">
        <f>R17</f>
        <v>0</v>
      </c>
      <c r="F21" s="289">
        <v>3</v>
      </c>
      <c r="H21" s="308">
        <f>A21-$B21*A22</f>
        <v>1</v>
      </c>
      <c r="I21" s="178">
        <f>B21-$B21*B22</f>
        <v>0</v>
      </c>
      <c r="J21" s="178">
        <f>C21-$B21*C22</f>
        <v>0</v>
      </c>
      <c r="K21" s="343">
        <f>D21-$B21*D22</f>
        <v>0</v>
      </c>
      <c r="M21" s="289">
        <v>3</v>
      </c>
      <c r="O21" s="308">
        <f>H21-H23*$J21</f>
        <v>1</v>
      </c>
      <c r="P21" s="178">
        <f>I21-I23*$J21</f>
        <v>0</v>
      </c>
      <c r="Q21" s="178">
        <f>J21-J23*$J21</f>
        <v>0</v>
      </c>
      <c r="R21" s="343">
        <f>K21-K23*$J21</f>
        <v>0</v>
      </c>
    </row>
    <row r="22" spans="1:20" x14ac:dyDescent="0.25">
      <c r="A22" s="68">
        <f>O18/$P18</f>
        <v>0</v>
      </c>
      <c r="B22" s="8">
        <f>P18/$P18</f>
        <v>1</v>
      </c>
      <c r="C22" s="8">
        <f>Q18/$P18</f>
        <v>2</v>
      </c>
      <c r="D22" s="91">
        <f>R18/$P18</f>
        <v>0</v>
      </c>
      <c r="H22" s="68">
        <f>A22</f>
        <v>0</v>
      </c>
      <c r="I22" s="8">
        <f>B22</f>
        <v>1</v>
      </c>
      <c r="J22" s="8">
        <f>C22</f>
        <v>2</v>
      </c>
      <c r="K22" s="91">
        <f>D22</f>
        <v>0</v>
      </c>
      <c r="O22" s="68">
        <f>H22-H23*$J22</f>
        <v>0</v>
      </c>
      <c r="P22" s="8">
        <f>I22-I23*$J22</f>
        <v>1</v>
      </c>
      <c r="Q22" s="8">
        <f>J22-J23*$J22</f>
        <v>0</v>
      </c>
      <c r="R22" s="91">
        <f>K22-K23*$J22</f>
        <v>0</v>
      </c>
    </row>
    <row r="23" spans="1:20" x14ac:dyDescent="0.25">
      <c r="A23" s="80">
        <f>O19</f>
        <v>0</v>
      </c>
      <c r="B23" s="334">
        <f>P19</f>
        <v>0</v>
      </c>
      <c r="C23" s="334">
        <f>Q19</f>
        <v>5</v>
      </c>
      <c r="D23" s="85">
        <f>R19</f>
        <v>0</v>
      </c>
      <c r="H23" s="80">
        <f>A23/$C23</f>
        <v>0</v>
      </c>
      <c r="I23" s="334">
        <f>B23/$C23</f>
        <v>0</v>
      </c>
      <c r="J23" s="334">
        <f>C23/$C23</f>
        <v>1</v>
      </c>
      <c r="K23" s="85">
        <f>D23/$C23</f>
        <v>0</v>
      </c>
      <c r="O23" s="80">
        <f>H23</f>
        <v>0</v>
      </c>
      <c r="P23" s="334">
        <f>I23</f>
        <v>0</v>
      </c>
      <c r="Q23" s="334">
        <f>J23</f>
        <v>1</v>
      </c>
      <c r="R23" s="85">
        <f>K23</f>
        <v>0</v>
      </c>
    </row>
    <row r="24" spans="1:20" x14ac:dyDescent="0.25">
      <c r="A24" s="8"/>
      <c r="B24" s="8"/>
      <c r="C24" s="8"/>
      <c r="D24" s="8"/>
      <c r="H24" s="8"/>
      <c r="I24" s="8"/>
      <c r="J24" s="8"/>
      <c r="K24" s="8"/>
      <c r="O24" s="8"/>
      <c r="P24" s="8"/>
      <c r="Q24" s="8"/>
      <c r="R24" s="8"/>
    </row>
    <row r="25" spans="1:20" x14ac:dyDescent="0.25">
      <c r="A25" s="8" t="s">
        <v>743</v>
      </c>
      <c r="B25" s="8"/>
      <c r="C25" s="8"/>
      <c r="D25" s="8"/>
      <c r="H25" s="8"/>
      <c r="I25" s="8"/>
      <c r="J25" s="8"/>
      <c r="K25" s="8"/>
      <c r="O25" s="8"/>
      <c r="P25" s="8"/>
      <c r="Q25" s="8"/>
      <c r="R25" s="8"/>
    </row>
    <row r="27" spans="1:20" x14ac:dyDescent="0.25">
      <c r="F27" s="289" t="s">
        <v>729</v>
      </c>
      <c r="I27" s="363"/>
      <c r="M27" s="289" t="s">
        <v>729</v>
      </c>
      <c r="T27" s="289" t="s">
        <v>729</v>
      </c>
    </row>
    <row r="28" spans="1:20" x14ac:dyDescent="0.25">
      <c r="A28" s="308">
        <v>1</v>
      </c>
      <c r="B28" s="178">
        <v>1</v>
      </c>
      <c r="C28" s="178">
        <v>2</v>
      </c>
      <c r="D28" s="343">
        <v>0</v>
      </c>
      <c r="F28" s="289">
        <v>3</v>
      </c>
      <c r="H28" s="308">
        <f>A28</f>
        <v>1</v>
      </c>
      <c r="I28" s="178">
        <f>B28</f>
        <v>1</v>
      </c>
      <c r="J28" s="178">
        <f>C28</f>
        <v>2</v>
      </c>
      <c r="K28" s="343">
        <f>D28</f>
        <v>0</v>
      </c>
      <c r="M28" s="289">
        <v>2</v>
      </c>
      <c r="O28" s="308">
        <f>H28</f>
        <v>1</v>
      </c>
      <c r="P28" s="178">
        <f>I28</f>
        <v>1</v>
      </c>
      <c r="Q28" s="178">
        <f>J28</f>
        <v>2</v>
      </c>
      <c r="R28" s="343">
        <f>K28</f>
        <v>0</v>
      </c>
      <c r="T28" s="289">
        <v>3</v>
      </c>
    </row>
    <row r="29" spans="1:20" x14ac:dyDescent="0.25">
      <c r="A29" s="68">
        <v>-1</v>
      </c>
      <c r="B29" s="8">
        <v>3</v>
      </c>
      <c r="C29" s="8">
        <v>-4</v>
      </c>
      <c r="D29" s="91">
        <v>0</v>
      </c>
      <c r="H29" s="68">
        <f>A28+A29</f>
        <v>0</v>
      </c>
      <c r="I29" s="8">
        <f>B28+B29</f>
        <v>4</v>
      </c>
      <c r="J29" s="8">
        <f>C28+C29</f>
        <v>-2</v>
      </c>
      <c r="K29" s="91">
        <f>D28+D29</f>
        <v>0</v>
      </c>
      <c r="O29" s="68">
        <f>H29/$I29</f>
        <v>0</v>
      </c>
      <c r="P29" s="8">
        <f>I29/$I29</f>
        <v>1</v>
      </c>
      <c r="Q29" s="8">
        <f>J29/$I29</f>
        <v>-0.5</v>
      </c>
      <c r="R29" s="91">
        <f>K29/$I29</f>
        <v>0</v>
      </c>
    </row>
    <row r="30" spans="1:20" x14ac:dyDescent="0.25">
      <c r="A30" s="80">
        <v>1</v>
      </c>
      <c r="B30" s="334">
        <v>-3</v>
      </c>
      <c r="C30" s="334">
        <v>4</v>
      </c>
      <c r="D30" s="85">
        <v>0</v>
      </c>
      <c r="H30" s="80">
        <f>-H28+A30</f>
        <v>0</v>
      </c>
      <c r="I30" s="334">
        <f>-I28+B30</f>
        <v>-4</v>
      </c>
      <c r="J30" s="334">
        <f>-J28+C30</f>
        <v>2</v>
      </c>
      <c r="K30" s="85">
        <f>-K28+D30</f>
        <v>0</v>
      </c>
      <c r="O30" s="80">
        <f>H29</f>
        <v>0</v>
      </c>
      <c r="P30" s="334">
        <f>I29</f>
        <v>4</v>
      </c>
      <c r="Q30" s="334">
        <f>J29</f>
        <v>-2</v>
      </c>
      <c r="R30" s="85">
        <f>K29</f>
        <v>0</v>
      </c>
    </row>
    <row r="31" spans="1:20" x14ac:dyDescent="0.25">
      <c r="F31" s="289" t="s">
        <v>729</v>
      </c>
      <c r="M31"/>
    </row>
    <row r="32" spans="1:20" x14ac:dyDescent="0.25">
      <c r="A32" s="308">
        <f>O28-O29</f>
        <v>1</v>
      </c>
      <c r="B32" s="178">
        <f>P28-P29</f>
        <v>0</v>
      </c>
      <c r="C32" s="178">
        <f>Q28-Q29</f>
        <v>2.5</v>
      </c>
      <c r="D32" s="343">
        <f>R28-R29</f>
        <v>0</v>
      </c>
      <c r="F32" s="289">
        <v>3</v>
      </c>
      <c r="M32"/>
    </row>
    <row r="33" spans="1:26" x14ac:dyDescent="0.25">
      <c r="A33" s="68">
        <f>O29</f>
        <v>0</v>
      </c>
      <c r="B33" s="8">
        <f>P29</f>
        <v>1</v>
      </c>
      <c r="C33" s="8">
        <f>Q29</f>
        <v>-0.5</v>
      </c>
      <c r="D33" s="91">
        <f>R29</f>
        <v>0</v>
      </c>
      <c r="M33"/>
    </row>
    <row r="34" spans="1:26" x14ac:dyDescent="0.25">
      <c r="A34" s="80">
        <f>O30-O29*$P30</f>
        <v>0</v>
      </c>
      <c r="B34" s="334">
        <f>P30-P29*$P30</f>
        <v>0</v>
      </c>
      <c r="C34" s="334">
        <f>Q30-Q29*$P30</f>
        <v>0</v>
      </c>
      <c r="D34" s="85">
        <f>R30-R29*$P30</f>
        <v>0</v>
      </c>
      <c r="M34"/>
    </row>
    <row r="35" spans="1:26" x14ac:dyDescent="0.25">
      <c r="M35"/>
    </row>
    <row r="36" spans="1:26" x14ac:dyDescent="0.25">
      <c r="A36" t="s">
        <v>744</v>
      </c>
    </row>
    <row r="38" spans="1:26" x14ac:dyDescent="0.25">
      <c r="H38" s="289" t="s">
        <v>729</v>
      </c>
      <c r="K38" s="363"/>
      <c r="M38"/>
      <c r="Q38" s="289" t="s">
        <v>729</v>
      </c>
      <c r="T38"/>
      <c r="Z38" s="289" t="s">
        <v>729</v>
      </c>
    </row>
    <row r="39" spans="1:26" x14ac:dyDescent="0.25">
      <c r="A39" s="308">
        <v>1</v>
      </c>
      <c r="B39" s="178">
        <v>2</v>
      </c>
      <c r="C39" s="178">
        <v>0</v>
      </c>
      <c r="D39" s="308">
        <v>1</v>
      </c>
      <c r="E39" s="364">
        <v>0</v>
      </c>
      <c r="F39" s="365">
        <v>0</v>
      </c>
      <c r="H39" s="289">
        <v>3</v>
      </c>
      <c r="J39" s="308">
        <f t="shared" ref="J39:O39" si="1">A39</f>
        <v>1</v>
      </c>
      <c r="K39" s="178">
        <f t="shared" si="1"/>
        <v>2</v>
      </c>
      <c r="L39" s="178">
        <f t="shared" si="1"/>
        <v>0</v>
      </c>
      <c r="M39" s="308">
        <f t="shared" si="1"/>
        <v>1</v>
      </c>
      <c r="N39" s="364">
        <f t="shared" si="1"/>
        <v>0</v>
      </c>
      <c r="O39" s="365">
        <f t="shared" si="1"/>
        <v>0</v>
      </c>
      <c r="Q39" s="289">
        <v>2</v>
      </c>
      <c r="S39" s="308">
        <f t="shared" ref="S39:X39" si="2">J39</f>
        <v>1</v>
      </c>
      <c r="T39" s="178">
        <f t="shared" si="2"/>
        <v>2</v>
      </c>
      <c r="U39" s="178">
        <f t="shared" si="2"/>
        <v>0</v>
      </c>
      <c r="V39" s="308">
        <f t="shared" si="2"/>
        <v>1</v>
      </c>
      <c r="W39" s="364">
        <f t="shared" si="2"/>
        <v>0</v>
      </c>
      <c r="X39" s="365">
        <f t="shared" si="2"/>
        <v>0</v>
      </c>
      <c r="Z39" s="289">
        <v>3</v>
      </c>
    </row>
    <row r="40" spans="1:26" x14ac:dyDescent="0.25">
      <c r="A40" s="68">
        <v>-1</v>
      </c>
      <c r="B40" s="8">
        <v>2</v>
      </c>
      <c r="C40" s="8">
        <v>1</v>
      </c>
      <c r="D40" s="68">
        <v>0</v>
      </c>
      <c r="E40" s="296">
        <v>1</v>
      </c>
      <c r="F40" s="98">
        <v>0</v>
      </c>
      <c r="J40" s="68">
        <f t="shared" ref="J40:O40" si="3">A39+A40</f>
        <v>0</v>
      </c>
      <c r="K40" s="8">
        <f t="shared" si="3"/>
        <v>4</v>
      </c>
      <c r="L40" s="8">
        <f t="shared" si="3"/>
        <v>1</v>
      </c>
      <c r="M40" s="68">
        <f t="shared" si="3"/>
        <v>1</v>
      </c>
      <c r="N40" s="296">
        <f t="shared" si="3"/>
        <v>1</v>
      </c>
      <c r="O40" s="98">
        <f t="shared" si="3"/>
        <v>0</v>
      </c>
      <c r="Q40" s="289"/>
      <c r="S40" s="68">
        <f t="shared" ref="S40:X40" si="4">J40/$K40</f>
        <v>0</v>
      </c>
      <c r="T40" s="8">
        <f t="shared" si="4"/>
        <v>1</v>
      </c>
      <c r="U40" s="8">
        <f t="shared" si="4"/>
        <v>0.25</v>
      </c>
      <c r="V40" s="68">
        <f t="shared" si="4"/>
        <v>0.25</v>
      </c>
      <c r="W40" s="296">
        <f t="shared" si="4"/>
        <v>0.25</v>
      </c>
      <c r="X40" s="98">
        <f t="shared" si="4"/>
        <v>0</v>
      </c>
    </row>
    <row r="41" spans="1:26" x14ac:dyDescent="0.25">
      <c r="A41" s="80">
        <v>1</v>
      </c>
      <c r="B41" s="334">
        <v>1</v>
      </c>
      <c r="C41" s="334">
        <v>3</v>
      </c>
      <c r="D41" s="80">
        <v>0</v>
      </c>
      <c r="E41" s="366">
        <v>0</v>
      </c>
      <c r="F41" s="100">
        <v>1</v>
      </c>
      <c r="J41" s="80">
        <f t="shared" ref="J41:O41" si="5">-J39+A41</f>
        <v>0</v>
      </c>
      <c r="K41" s="334">
        <f t="shared" si="5"/>
        <v>-1</v>
      </c>
      <c r="L41" s="334">
        <f t="shared" si="5"/>
        <v>3</v>
      </c>
      <c r="M41" s="80">
        <f t="shared" si="5"/>
        <v>-1</v>
      </c>
      <c r="N41" s="366">
        <f t="shared" si="5"/>
        <v>0</v>
      </c>
      <c r="O41" s="100">
        <f t="shared" si="5"/>
        <v>1</v>
      </c>
      <c r="Q41" s="289"/>
      <c r="S41" s="80">
        <f t="shared" ref="S41:X41" si="6">J41</f>
        <v>0</v>
      </c>
      <c r="T41" s="334">
        <f t="shared" si="6"/>
        <v>-1</v>
      </c>
      <c r="U41" s="334">
        <f t="shared" si="6"/>
        <v>3</v>
      </c>
      <c r="V41" s="80">
        <f t="shared" si="6"/>
        <v>-1</v>
      </c>
      <c r="W41" s="366">
        <f t="shared" si="6"/>
        <v>0</v>
      </c>
      <c r="X41" s="100">
        <f t="shared" si="6"/>
        <v>1</v>
      </c>
    </row>
    <row r="42" spans="1:26" x14ac:dyDescent="0.25">
      <c r="H42" s="289" t="s">
        <v>729</v>
      </c>
      <c r="M42"/>
      <c r="Q42" s="289" t="s">
        <v>729</v>
      </c>
      <c r="T42"/>
      <c r="X42" s="289"/>
    </row>
    <row r="43" spans="1:26" x14ac:dyDescent="0.25">
      <c r="A43" s="308">
        <f t="shared" ref="A43:F43" si="7">S39-$T39*S40</f>
        <v>1</v>
      </c>
      <c r="B43" s="178">
        <f t="shared" si="7"/>
        <v>0</v>
      </c>
      <c r="C43" s="178">
        <f t="shared" si="7"/>
        <v>-0.5</v>
      </c>
      <c r="D43" s="308">
        <f t="shared" si="7"/>
        <v>0.5</v>
      </c>
      <c r="E43" s="364">
        <f t="shared" si="7"/>
        <v>-0.5</v>
      </c>
      <c r="F43" s="365">
        <f t="shared" si="7"/>
        <v>0</v>
      </c>
      <c r="H43" s="289">
        <v>2</v>
      </c>
      <c r="J43" s="308">
        <f t="shared" ref="J43:O44" si="8">A43</f>
        <v>1</v>
      </c>
      <c r="K43" s="178">
        <f t="shared" si="8"/>
        <v>0</v>
      </c>
      <c r="L43" s="178">
        <f t="shared" si="8"/>
        <v>-0.5</v>
      </c>
      <c r="M43" s="308">
        <f t="shared" si="8"/>
        <v>0.5</v>
      </c>
      <c r="N43" s="364">
        <f t="shared" si="8"/>
        <v>-0.5</v>
      </c>
      <c r="O43" s="365">
        <f t="shared" si="8"/>
        <v>0</v>
      </c>
      <c r="Q43" s="289">
        <v>3</v>
      </c>
      <c r="S43" s="308">
        <f t="shared" ref="S43:X43" si="9">J43-J45*$L43</f>
        <v>1</v>
      </c>
      <c r="T43" s="178">
        <f t="shared" si="9"/>
        <v>0</v>
      </c>
      <c r="U43" s="178">
        <f t="shared" si="9"/>
        <v>0</v>
      </c>
      <c r="V43" s="308">
        <f t="shared" si="9"/>
        <v>0.38461538461538458</v>
      </c>
      <c r="W43" s="364">
        <f t="shared" si="9"/>
        <v>-0.46153846153846156</v>
      </c>
      <c r="X43" s="365">
        <f t="shared" si="9"/>
        <v>0.15384615384615385</v>
      </c>
    </row>
    <row r="44" spans="1:26" x14ac:dyDescent="0.25">
      <c r="A44" s="68">
        <f t="shared" ref="A44:F44" si="10">S40</f>
        <v>0</v>
      </c>
      <c r="B44" s="8">
        <f t="shared" si="10"/>
        <v>1</v>
      </c>
      <c r="C44" s="8">
        <f t="shared" si="10"/>
        <v>0.25</v>
      </c>
      <c r="D44" s="68">
        <f t="shared" si="10"/>
        <v>0.25</v>
      </c>
      <c r="E44" s="296">
        <f t="shared" si="10"/>
        <v>0.25</v>
      </c>
      <c r="F44" s="98">
        <f t="shared" si="10"/>
        <v>0</v>
      </c>
      <c r="J44" s="68">
        <f t="shared" si="8"/>
        <v>0</v>
      </c>
      <c r="K44" s="8">
        <f t="shared" si="8"/>
        <v>1</v>
      </c>
      <c r="L44" s="8">
        <f t="shared" si="8"/>
        <v>0.25</v>
      </c>
      <c r="M44" s="68">
        <f t="shared" si="8"/>
        <v>0.25</v>
      </c>
      <c r="N44" s="296">
        <f t="shared" si="8"/>
        <v>0.25</v>
      </c>
      <c r="O44" s="98">
        <f t="shared" si="8"/>
        <v>0</v>
      </c>
      <c r="Q44" s="289"/>
      <c r="S44" s="68">
        <f t="shared" ref="S44:X44" si="11">J44-$L44*J45</f>
        <v>0</v>
      </c>
      <c r="T44" s="8">
        <f t="shared" si="11"/>
        <v>1</v>
      </c>
      <c r="U44" s="8">
        <f t="shared" si="11"/>
        <v>0</v>
      </c>
      <c r="V44" s="68">
        <f t="shared" si="11"/>
        <v>0.30769230769230771</v>
      </c>
      <c r="W44" s="296">
        <f t="shared" si="11"/>
        <v>0.23076923076923078</v>
      </c>
      <c r="X44" s="98">
        <f t="shared" si="11"/>
        <v>-7.6923076923076927E-2</v>
      </c>
    </row>
    <row r="45" spans="1:26" x14ac:dyDescent="0.25">
      <c r="A45" s="80">
        <f t="shared" ref="A45:F45" si="12">S40+S41</f>
        <v>0</v>
      </c>
      <c r="B45" s="334">
        <f t="shared" si="12"/>
        <v>0</v>
      </c>
      <c r="C45" s="334">
        <f t="shared" si="12"/>
        <v>3.25</v>
      </c>
      <c r="D45" s="80">
        <f t="shared" si="12"/>
        <v>-0.75</v>
      </c>
      <c r="E45" s="366">
        <f t="shared" si="12"/>
        <v>0.25</v>
      </c>
      <c r="F45" s="100">
        <f t="shared" si="12"/>
        <v>1</v>
      </c>
      <c r="J45" s="80">
        <f t="shared" ref="J45:O45" si="13">A45/$C45</f>
        <v>0</v>
      </c>
      <c r="K45" s="334">
        <f t="shared" si="13"/>
        <v>0</v>
      </c>
      <c r="L45" s="334">
        <f t="shared" si="13"/>
        <v>1</v>
      </c>
      <c r="M45" s="80">
        <f t="shared" si="13"/>
        <v>-0.23076923076923078</v>
      </c>
      <c r="N45" s="366">
        <f t="shared" si="13"/>
        <v>7.6923076923076927E-2</v>
      </c>
      <c r="O45" s="100">
        <f t="shared" si="13"/>
        <v>0.30769230769230771</v>
      </c>
      <c r="Q45" s="289"/>
      <c r="S45" s="80">
        <f t="shared" ref="S45:X45" si="14">J45</f>
        <v>0</v>
      </c>
      <c r="T45" s="334">
        <f t="shared" si="14"/>
        <v>0</v>
      </c>
      <c r="U45" s="334">
        <f t="shared" si="14"/>
        <v>1</v>
      </c>
      <c r="V45" s="80">
        <f t="shared" si="14"/>
        <v>-0.23076923076923078</v>
      </c>
      <c r="W45" s="366">
        <f t="shared" si="14"/>
        <v>7.6923076923076927E-2</v>
      </c>
      <c r="X45" s="100">
        <f t="shared" si="14"/>
        <v>0.30769230769230771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87"/>
  <sheetViews>
    <sheetView workbookViewId="0"/>
  </sheetViews>
  <sheetFormatPr defaultRowHeight="15" x14ac:dyDescent="0.25"/>
  <cols>
    <col min="1" max="10" width="4.85546875" customWidth="1"/>
    <col min="11" max="11" width="8.42578125" customWidth="1"/>
    <col min="12" max="12" width="7.28515625" customWidth="1"/>
    <col min="13" max="13" width="7.28515625" style="289" customWidth="1"/>
    <col min="14" max="14" width="4.85546875" customWidth="1"/>
    <col min="15" max="17" width="7.28515625" customWidth="1"/>
  </cols>
  <sheetData>
    <row r="1" spans="1:13" x14ac:dyDescent="0.25">
      <c r="A1" s="1" t="s">
        <v>740</v>
      </c>
    </row>
    <row r="2" spans="1:13" x14ac:dyDescent="0.25">
      <c r="A2" s="1"/>
    </row>
    <row r="3" spans="1:13" x14ac:dyDescent="0.25">
      <c r="A3" t="s">
        <v>745</v>
      </c>
    </row>
    <row r="5" spans="1:13" x14ac:dyDescent="0.25">
      <c r="A5" s="308">
        <v>1</v>
      </c>
      <c r="B5" s="178">
        <v>2</v>
      </c>
      <c r="C5" s="178">
        <v>0</v>
      </c>
      <c r="D5" s="343">
        <v>4</v>
      </c>
      <c r="F5" s="308" t="e">
        <f t="array" aca="1" ref="F5:I7" ca="1">ELIM(A5:D7)</f>
        <v>#NAME?</v>
      </c>
      <c r="G5" s="178" t="e">
        <f ca="1"/>
        <v>#NAME?</v>
      </c>
      <c r="H5" s="178" t="e">
        <f ca="1"/>
        <v>#NAME?</v>
      </c>
      <c r="I5" s="343" t="e">
        <f ca="1"/>
        <v>#NAME?</v>
      </c>
      <c r="K5" s="343" t="e">
        <f t="array" aca="1" ref="K5:K7" ca="1">LINEQU(A5:D7)</f>
        <v>#NAME?</v>
      </c>
      <c r="M5" s="367" t="e">
        <f ca="1">MRANK(A5:D7)</f>
        <v>#NAME?</v>
      </c>
    </row>
    <row r="6" spans="1:13" x14ac:dyDescent="0.25">
      <c r="A6" s="68">
        <v>-1</v>
      </c>
      <c r="B6" s="8">
        <v>2</v>
      </c>
      <c r="C6" s="8">
        <v>1</v>
      </c>
      <c r="D6" s="91">
        <v>3</v>
      </c>
      <c r="F6" s="68" t="e">
        <f ca="1"/>
        <v>#NAME?</v>
      </c>
      <c r="G6" s="8" t="e">
        <f ca="1"/>
        <v>#NAME?</v>
      </c>
      <c r="H6" s="8" t="e">
        <f ca="1"/>
        <v>#NAME?</v>
      </c>
      <c r="I6" s="91" t="e">
        <f ca="1"/>
        <v>#NAME?</v>
      </c>
      <c r="K6" s="91" t="e">
        <f ca="1"/>
        <v>#NAME?</v>
      </c>
      <c r="M6" s="367" t="e">
        <f ca="1">MRANK(A5:C7)</f>
        <v>#NAME?</v>
      </c>
    </row>
    <row r="7" spans="1:13" x14ac:dyDescent="0.25">
      <c r="A7" s="80">
        <v>1</v>
      </c>
      <c r="B7" s="334">
        <v>1</v>
      </c>
      <c r="C7" s="334">
        <v>3</v>
      </c>
      <c r="D7" s="85">
        <v>-1</v>
      </c>
      <c r="F7" s="80" t="e">
        <f ca="1"/>
        <v>#NAME?</v>
      </c>
      <c r="G7" s="334" t="e">
        <f ca="1"/>
        <v>#NAME?</v>
      </c>
      <c r="H7" s="334" t="e">
        <f ca="1"/>
        <v>#NAME?</v>
      </c>
      <c r="I7" s="85" t="e">
        <f ca="1"/>
        <v>#NAME?</v>
      </c>
      <c r="K7" s="85" t="e">
        <f ca="1"/>
        <v>#NAME?</v>
      </c>
    </row>
    <row r="8" spans="1:13" x14ac:dyDescent="0.25">
      <c r="A8" s="8"/>
      <c r="B8" s="8"/>
      <c r="C8" s="8"/>
      <c r="D8" s="8"/>
      <c r="F8" s="8"/>
      <c r="G8" s="8"/>
      <c r="H8" s="8"/>
      <c r="I8" s="8"/>
      <c r="K8" s="8"/>
    </row>
    <row r="9" spans="1:13" x14ac:dyDescent="0.25">
      <c r="A9" t="s">
        <v>746</v>
      </c>
      <c r="B9" s="8"/>
      <c r="C9" s="8"/>
      <c r="D9" s="8"/>
      <c r="F9" s="8"/>
      <c r="G9" s="8"/>
      <c r="H9" s="8"/>
      <c r="I9" s="8"/>
      <c r="K9" s="8"/>
    </row>
    <row r="10" spans="1:13" x14ac:dyDescent="0.25">
      <c r="B10" s="8"/>
      <c r="C10" s="8"/>
      <c r="D10" s="8"/>
      <c r="F10" s="8"/>
      <c r="G10" s="8"/>
      <c r="H10" s="8"/>
      <c r="I10" s="8"/>
      <c r="K10" s="8"/>
    </row>
    <row r="11" spans="1:13" x14ac:dyDescent="0.25">
      <c r="A11" s="387" t="s">
        <v>178</v>
      </c>
      <c r="B11" s="387"/>
      <c r="C11" s="387"/>
      <c r="D11" s="277" t="s">
        <v>147</v>
      </c>
      <c r="F11" s="387" t="s">
        <v>747</v>
      </c>
      <c r="G11" s="387"/>
      <c r="H11" s="387"/>
      <c r="I11" s="387"/>
      <c r="K11" s="277" t="s">
        <v>748</v>
      </c>
      <c r="M11" s="289" t="s">
        <v>749</v>
      </c>
    </row>
    <row r="12" spans="1:13" x14ac:dyDescent="0.25">
      <c r="A12" s="308">
        <v>1</v>
      </c>
      <c r="B12" s="178">
        <v>1</v>
      </c>
      <c r="C12" s="178">
        <v>0</v>
      </c>
      <c r="D12" s="343">
        <v>4</v>
      </c>
      <c r="F12" s="308" t="e">
        <f t="array" aca="1" ref="F12:I14" ca="1">ELIM(A12:D14)</f>
        <v>#NAME?</v>
      </c>
      <c r="G12" s="178" t="e">
        <f ca="1"/>
        <v>#NAME?</v>
      </c>
      <c r="H12" s="178" t="e">
        <f ca="1"/>
        <v>#NAME?</v>
      </c>
      <c r="I12" s="343" t="e">
        <f ca="1"/>
        <v>#NAME?</v>
      </c>
      <c r="K12" s="343" t="e">
        <f t="array" aca="1" ref="K12:K14" ca="1">LINEQU(A12:D14)</f>
        <v>#NAME?</v>
      </c>
      <c r="M12" s="367" t="e">
        <f ca="1">MRANK(A12:D14)</f>
        <v>#NAME?</v>
      </c>
    </row>
    <row r="13" spans="1:13" x14ac:dyDescent="0.25">
      <c r="A13" s="68">
        <v>-1</v>
      </c>
      <c r="B13" s="8">
        <v>2</v>
      </c>
      <c r="C13" s="8">
        <v>1</v>
      </c>
      <c r="D13" s="91">
        <v>3</v>
      </c>
      <c r="F13" s="68" t="e">
        <f ca="1"/>
        <v>#NAME?</v>
      </c>
      <c r="G13" s="8" t="e">
        <f ca="1"/>
        <v>#NAME?</v>
      </c>
      <c r="H13" s="8" t="e">
        <f ca="1"/>
        <v>#NAME?</v>
      </c>
      <c r="I13" s="91" t="e">
        <f ca="1"/>
        <v>#NAME?</v>
      </c>
      <c r="K13" s="91" t="e">
        <f ca="1"/>
        <v>#NAME?</v>
      </c>
      <c r="M13" s="367" t="e">
        <f ca="1">MRANK(A12:C14)</f>
        <v>#NAME?</v>
      </c>
    </row>
    <row r="14" spans="1:13" x14ac:dyDescent="0.25">
      <c r="A14" s="80">
        <v>2</v>
      </c>
      <c r="B14" s="334">
        <v>2</v>
      </c>
      <c r="C14" s="334">
        <v>0</v>
      </c>
      <c r="D14" s="85">
        <v>6</v>
      </c>
      <c r="F14" s="80" t="e">
        <f ca="1"/>
        <v>#NAME?</v>
      </c>
      <c r="G14" s="334" t="e">
        <f ca="1"/>
        <v>#NAME?</v>
      </c>
      <c r="H14" s="334" t="e">
        <f ca="1"/>
        <v>#NAME?</v>
      </c>
      <c r="I14" s="85" t="e">
        <f ca="1"/>
        <v>#NAME?</v>
      </c>
      <c r="K14" s="85" t="e">
        <f ca="1"/>
        <v>#NAME?</v>
      </c>
    </row>
    <row r="15" spans="1:13" x14ac:dyDescent="0.25">
      <c r="A15" s="8"/>
      <c r="B15" s="8"/>
      <c r="C15" s="8"/>
      <c r="D15" s="8"/>
      <c r="F15" s="8"/>
      <c r="G15" s="8"/>
      <c r="H15" s="8"/>
      <c r="I15" s="8"/>
      <c r="K15" s="8"/>
    </row>
    <row r="16" spans="1:13" x14ac:dyDescent="0.25">
      <c r="A16" t="s">
        <v>750</v>
      </c>
      <c r="B16" s="8"/>
      <c r="C16" s="8"/>
      <c r="D16" s="8"/>
      <c r="F16" s="8"/>
      <c r="G16" s="8"/>
      <c r="H16" s="8"/>
      <c r="I16" s="8"/>
      <c r="K16" s="8"/>
    </row>
    <row r="17" spans="1:15" x14ac:dyDescent="0.25">
      <c r="A17" s="8"/>
      <c r="B17" s="8"/>
      <c r="C17" s="8"/>
      <c r="D17" s="8"/>
      <c r="F17" s="8"/>
      <c r="G17" s="8"/>
      <c r="H17" s="8"/>
      <c r="I17" s="8"/>
      <c r="K17" s="8"/>
    </row>
    <row r="18" spans="1:15" x14ac:dyDescent="0.25">
      <c r="A18" s="308">
        <v>1</v>
      </c>
      <c r="B18" s="178">
        <v>1</v>
      </c>
      <c r="C18" s="178">
        <v>0</v>
      </c>
      <c r="D18" s="343">
        <v>4</v>
      </c>
      <c r="F18" s="308" t="e">
        <f t="array" aca="1" ref="F18:I20" ca="1">ELIM(A18:D20)</f>
        <v>#NAME?</v>
      </c>
      <c r="G18" s="178" t="e">
        <f ca="1"/>
        <v>#NAME?</v>
      </c>
      <c r="H18" s="178" t="e">
        <f ca="1"/>
        <v>#NAME?</v>
      </c>
      <c r="I18" s="343" t="e">
        <f ca="1"/>
        <v>#NAME?</v>
      </c>
      <c r="K18" s="343" t="e">
        <f t="array" aca="1" ref="K18:K20" ca="1">LINEQU(A18:D20)</f>
        <v>#NAME?</v>
      </c>
      <c r="M18" s="367" t="e">
        <f ca="1">MRANK(A18:D20)</f>
        <v>#NAME?</v>
      </c>
    </row>
    <row r="19" spans="1:15" x14ac:dyDescent="0.25">
      <c r="A19" s="68">
        <v>-1</v>
      </c>
      <c r="B19" s="8">
        <v>2</v>
      </c>
      <c r="C19" s="8">
        <v>1</v>
      </c>
      <c r="D19" s="91">
        <v>3</v>
      </c>
      <c r="F19" s="68" t="e">
        <f ca="1"/>
        <v>#NAME?</v>
      </c>
      <c r="G19" s="8" t="e">
        <f ca="1"/>
        <v>#NAME?</v>
      </c>
      <c r="H19" s="8" t="e">
        <f ca="1"/>
        <v>#NAME?</v>
      </c>
      <c r="I19" s="91" t="e">
        <f ca="1"/>
        <v>#NAME?</v>
      </c>
      <c r="K19" s="91" t="e">
        <f ca="1"/>
        <v>#NAME?</v>
      </c>
      <c r="M19" s="367" t="e">
        <f ca="1">MRANK(A18:C20)</f>
        <v>#NAME?</v>
      </c>
    </row>
    <row r="20" spans="1:15" x14ac:dyDescent="0.25">
      <c r="A20" s="80">
        <v>2</v>
      </c>
      <c r="B20" s="334">
        <v>-1</v>
      </c>
      <c r="C20" s="334">
        <v>-1</v>
      </c>
      <c r="D20" s="85">
        <v>1</v>
      </c>
      <c r="F20" s="80" t="e">
        <f ca="1"/>
        <v>#NAME?</v>
      </c>
      <c r="G20" s="334" t="e">
        <f ca="1"/>
        <v>#NAME?</v>
      </c>
      <c r="H20" s="334" t="e">
        <f ca="1"/>
        <v>#NAME?</v>
      </c>
      <c r="I20" s="85" t="e">
        <f ca="1"/>
        <v>#NAME?</v>
      </c>
      <c r="K20" s="85" t="e">
        <f ca="1"/>
        <v>#NAME?</v>
      </c>
    </row>
    <row r="21" spans="1:15" x14ac:dyDescent="0.25">
      <c r="A21" s="8"/>
      <c r="B21" s="8"/>
      <c r="C21" s="8"/>
      <c r="D21" s="8"/>
      <c r="F21" s="8"/>
      <c r="G21" s="8"/>
      <c r="H21" s="8"/>
      <c r="I21" s="8"/>
      <c r="K21" s="8"/>
    </row>
    <row r="22" spans="1:15" x14ac:dyDescent="0.25">
      <c r="A22" t="s">
        <v>751</v>
      </c>
      <c r="B22" s="8"/>
      <c r="C22" s="8"/>
      <c r="D22" s="8"/>
      <c r="F22" s="8"/>
      <c r="G22" s="8"/>
      <c r="H22" s="8"/>
      <c r="I22" s="8"/>
      <c r="K22" s="8"/>
    </row>
    <row r="23" spans="1:15" x14ac:dyDescent="0.25">
      <c r="B23" s="8"/>
      <c r="C23" s="8"/>
      <c r="D23" s="8"/>
      <c r="F23" s="8"/>
      <c r="G23" s="8"/>
      <c r="H23" s="8"/>
      <c r="I23" s="8"/>
      <c r="K23" s="8"/>
    </row>
    <row r="24" spans="1:15" x14ac:dyDescent="0.25">
      <c r="A24" s="387" t="s">
        <v>178</v>
      </c>
      <c r="B24" s="387"/>
      <c r="C24" s="387"/>
      <c r="D24" s="277" t="s">
        <v>147</v>
      </c>
      <c r="F24" s="387" t="s">
        <v>747</v>
      </c>
      <c r="G24" s="387"/>
      <c r="H24" s="387"/>
      <c r="I24" s="387"/>
      <c r="K24" s="277" t="s">
        <v>748</v>
      </c>
    </row>
    <row r="25" spans="1:15" x14ac:dyDescent="0.25">
      <c r="A25" s="308">
        <v>1</v>
      </c>
      <c r="B25" s="178">
        <v>2</v>
      </c>
      <c r="C25" s="178">
        <v>0</v>
      </c>
      <c r="D25" s="343">
        <v>4</v>
      </c>
      <c r="F25" s="308" t="e">
        <f t="array" aca="1" ref="F25:I28" ca="1">ELIM(A25:D28)</f>
        <v>#NAME?</v>
      </c>
      <c r="G25" s="178" t="e">
        <f ca="1"/>
        <v>#NAME?</v>
      </c>
      <c r="H25" s="178" t="e">
        <f ca="1"/>
        <v>#NAME?</v>
      </c>
      <c r="I25" s="343" t="e">
        <f ca="1"/>
        <v>#NAME?</v>
      </c>
      <c r="K25" s="343" t="e">
        <f t="array" aca="1" ref="K25:K27" ca="1">LINEQU(A25:D28)</f>
        <v>#NAME?</v>
      </c>
      <c r="M25" s="367" t="e">
        <f ca="1">MRANK(A25:D28)</f>
        <v>#NAME?</v>
      </c>
    </row>
    <row r="26" spans="1:15" x14ac:dyDescent="0.25">
      <c r="A26" s="68">
        <v>-1</v>
      </c>
      <c r="B26" s="8">
        <v>2</v>
      </c>
      <c r="C26" s="8">
        <v>1</v>
      </c>
      <c r="D26" s="91">
        <v>3</v>
      </c>
      <c r="F26" s="68" t="e">
        <f ca="1"/>
        <v>#NAME?</v>
      </c>
      <c r="G26" s="8" t="e">
        <f ca="1"/>
        <v>#NAME?</v>
      </c>
      <c r="H26" s="8" t="e">
        <f ca="1"/>
        <v>#NAME?</v>
      </c>
      <c r="I26" s="91" t="e">
        <f ca="1"/>
        <v>#NAME?</v>
      </c>
      <c r="K26" s="91" t="e">
        <f ca="1"/>
        <v>#NAME?</v>
      </c>
      <c r="M26" s="367" t="e">
        <f ca="1">MRANK(A25:C27)</f>
        <v>#NAME?</v>
      </c>
    </row>
    <row r="27" spans="1:15" x14ac:dyDescent="0.25">
      <c r="A27" s="68">
        <v>0</v>
      </c>
      <c r="B27" s="8">
        <v>1</v>
      </c>
      <c r="C27" s="8">
        <v>-3</v>
      </c>
      <c r="D27" s="91">
        <v>5</v>
      </c>
      <c r="F27" s="68" t="e">
        <f ca="1"/>
        <v>#NAME?</v>
      </c>
      <c r="G27" s="8" t="e">
        <f ca="1"/>
        <v>#NAME?</v>
      </c>
      <c r="H27" s="8" t="e">
        <f ca="1"/>
        <v>#NAME?</v>
      </c>
      <c r="I27" s="91" t="e">
        <f ca="1"/>
        <v>#NAME?</v>
      </c>
      <c r="K27" s="85" t="e">
        <f ca="1"/>
        <v>#NAME?</v>
      </c>
    </row>
    <row r="28" spans="1:15" s="352" customFormat="1" x14ac:dyDescent="0.25">
      <c r="A28" s="80">
        <v>1</v>
      </c>
      <c r="B28" s="334">
        <v>1</v>
      </c>
      <c r="C28" s="334">
        <v>3</v>
      </c>
      <c r="D28" s="85">
        <v>-1</v>
      </c>
      <c r="E28"/>
      <c r="F28" s="80" t="e">
        <f ca="1"/>
        <v>#NAME?</v>
      </c>
      <c r="G28" s="334" t="e">
        <f ca="1"/>
        <v>#NAME?</v>
      </c>
      <c r="H28" s="334" t="e">
        <f ca="1"/>
        <v>#NAME?</v>
      </c>
      <c r="I28" s="85" t="e">
        <f ca="1"/>
        <v>#NAME?</v>
      </c>
      <c r="J28"/>
      <c r="K28"/>
      <c r="M28" s="65"/>
      <c r="O28"/>
    </row>
    <row r="29" spans="1:15" s="352" customFormat="1" x14ac:dyDescent="0.25">
      <c r="A29" s="8"/>
      <c r="B29" s="8"/>
      <c r="C29" s="8"/>
      <c r="D29" s="8"/>
      <c r="E29"/>
      <c r="F29" s="8"/>
      <c r="G29" s="8"/>
      <c r="H29" s="8"/>
      <c r="I29" s="8"/>
      <c r="J29"/>
      <c r="K29" s="8"/>
      <c r="M29" s="65"/>
      <c r="O29"/>
    </row>
    <row r="30" spans="1:15" s="352" customFormat="1" x14ac:dyDescent="0.25">
      <c r="A30" t="s">
        <v>752</v>
      </c>
      <c r="B30" s="8"/>
      <c r="C30" s="8"/>
      <c r="D30" s="8"/>
      <c r="E30"/>
      <c r="F30" s="8"/>
      <c r="G30" s="8"/>
      <c r="H30" s="8"/>
      <c r="I30" s="8"/>
      <c r="J30"/>
      <c r="K30" s="8"/>
      <c r="L30"/>
      <c r="M30" s="289"/>
      <c r="N30"/>
      <c r="O30"/>
    </row>
    <row r="31" spans="1:15" s="352" customFormat="1" x14ac:dyDescent="0.25">
      <c r="A31"/>
      <c r="B31" s="8"/>
      <c r="C31" s="8"/>
      <c r="D31" s="8"/>
      <c r="E31"/>
      <c r="F31" s="8"/>
      <c r="G31" s="8"/>
      <c r="H31" s="8"/>
      <c r="I31" s="8"/>
      <c r="J31"/>
      <c r="K31" s="8"/>
      <c r="L31"/>
      <c r="M31" s="289"/>
      <c r="N31"/>
      <c r="O31"/>
    </row>
    <row r="32" spans="1:15" x14ac:dyDescent="0.25">
      <c r="A32" s="387" t="s">
        <v>178</v>
      </c>
      <c r="B32" s="387"/>
      <c r="C32" s="387"/>
      <c r="D32" s="277" t="s">
        <v>147</v>
      </c>
      <c r="F32" s="387" t="s">
        <v>747</v>
      </c>
      <c r="G32" s="387"/>
      <c r="H32" s="387"/>
      <c r="I32" s="387"/>
      <c r="K32" s="277" t="s">
        <v>748</v>
      </c>
      <c r="M32" s="289" t="s">
        <v>749</v>
      </c>
    </row>
    <row r="33" spans="1:15" s="352" customFormat="1" x14ac:dyDescent="0.25">
      <c r="A33" s="308">
        <v>1</v>
      </c>
      <c r="B33" s="178">
        <v>0</v>
      </c>
      <c r="C33" s="178">
        <v>3</v>
      </c>
      <c r="D33" s="343">
        <v>4</v>
      </c>
      <c r="E33"/>
      <c r="F33" s="308" t="e">
        <f t="array" aca="1" ref="F33:I35" ca="1">ELIM(A33:D35)</f>
        <v>#NAME?</v>
      </c>
      <c r="G33" s="178" t="e">
        <f ca="1"/>
        <v>#NAME?</v>
      </c>
      <c r="H33" s="178" t="e">
        <f ca="1"/>
        <v>#NAME?</v>
      </c>
      <c r="I33" s="343" t="e">
        <f ca="1"/>
        <v>#NAME?</v>
      </c>
      <c r="J33"/>
      <c r="K33" s="343" t="e">
        <f t="array" aca="1" ref="K33:K35" ca="1">LINEQU(A33:D35)</f>
        <v>#NAME?</v>
      </c>
      <c r="L33"/>
      <c r="M33" s="367" t="e">
        <f ca="1">MRANK(A33:D35)</f>
        <v>#NAME?</v>
      </c>
      <c r="N33"/>
      <c r="O33"/>
    </row>
    <row r="34" spans="1:15" s="352" customFormat="1" x14ac:dyDescent="0.25">
      <c r="A34" s="68">
        <v>2</v>
      </c>
      <c r="B34" s="8">
        <v>0</v>
      </c>
      <c r="C34" s="8">
        <v>5</v>
      </c>
      <c r="D34" s="91">
        <v>5</v>
      </c>
      <c r="E34"/>
      <c r="F34" s="68" t="e">
        <f ca="1"/>
        <v>#NAME?</v>
      </c>
      <c r="G34" s="8" t="e">
        <f ca="1"/>
        <v>#NAME?</v>
      </c>
      <c r="H34" s="8" t="e">
        <f ca="1"/>
        <v>#NAME?</v>
      </c>
      <c r="I34" s="91" t="e">
        <f ca="1"/>
        <v>#NAME?</v>
      </c>
      <c r="J34"/>
      <c r="K34" s="91" t="e">
        <f ca="1"/>
        <v>#NAME?</v>
      </c>
      <c r="L34"/>
      <c r="M34" s="367" t="e">
        <f ca="1">MRANK(A33:C35)</f>
        <v>#NAME?</v>
      </c>
      <c r="N34"/>
      <c r="O34"/>
    </row>
    <row r="35" spans="1:15" s="352" customFormat="1" x14ac:dyDescent="0.25">
      <c r="A35" s="80">
        <v>3</v>
      </c>
      <c r="B35" s="334">
        <v>0</v>
      </c>
      <c r="C35" s="334">
        <v>8</v>
      </c>
      <c r="D35" s="85">
        <v>9</v>
      </c>
      <c r="E35"/>
      <c r="F35" s="80" t="e">
        <f ca="1"/>
        <v>#NAME?</v>
      </c>
      <c r="G35" s="334" t="e">
        <f ca="1"/>
        <v>#NAME?</v>
      </c>
      <c r="H35" s="334" t="e">
        <f ca="1"/>
        <v>#NAME?</v>
      </c>
      <c r="I35" s="85" t="e">
        <f ca="1"/>
        <v>#NAME?</v>
      </c>
      <c r="J35"/>
      <c r="K35" s="85" t="e">
        <f ca="1"/>
        <v>#NAME?</v>
      </c>
      <c r="L35"/>
      <c r="M35" s="289"/>
      <c r="N35"/>
      <c r="O35"/>
    </row>
    <row r="36" spans="1:15" s="352" customFormat="1" x14ac:dyDescent="0.25">
      <c r="A36" s="8"/>
      <c r="B36" s="8"/>
      <c r="C36" s="8"/>
      <c r="D36" s="8"/>
      <c r="E36"/>
      <c r="F36" s="8"/>
      <c r="G36" s="8"/>
      <c r="H36" s="8"/>
      <c r="I36" s="8"/>
      <c r="J36"/>
      <c r="K36"/>
      <c r="M36" s="65"/>
    </row>
    <row r="37" spans="1:15" s="352" customFormat="1" x14ac:dyDescent="0.25">
      <c r="A37" t="s">
        <v>753</v>
      </c>
      <c r="B37" s="8"/>
      <c r="C37" s="8"/>
      <c r="D37" s="8"/>
      <c r="E37"/>
      <c r="F37" s="8"/>
      <c r="G37" s="8"/>
      <c r="H37" s="8"/>
      <c r="I37" s="8"/>
      <c r="J37"/>
      <c r="K37" s="8"/>
      <c r="M37" s="65"/>
    </row>
    <row r="38" spans="1:15" s="352" customFormat="1" x14ac:dyDescent="0.25">
      <c r="A38" s="8"/>
      <c r="B38" s="8"/>
      <c r="C38" s="8"/>
      <c r="D38" s="8"/>
      <c r="E38"/>
      <c r="F38" s="8"/>
      <c r="G38" s="8"/>
      <c r="H38" s="8"/>
      <c r="I38" s="8"/>
      <c r="J38"/>
      <c r="K38" s="8"/>
      <c r="M38" s="65"/>
    </row>
    <row r="39" spans="1:15" s="352" customFormat="1" x14ac:dyDescent="0.25">
      <c r="A39" s="308">
        <v>1</v>
      </c>
      <c r="B39" s="178">
        <v>2</v>
      </c>
      <c r="C39" s="178">
        <v>0</v>
      </c>
      <c r="D39" s="343">
        <v>4</v>
      </c>
      <c r="E39"/>
      <c r="F39" s="308" t="e">
        <f t="array" aca="1" ref="F39:I42" ca="1">ELIM(A39:D42)</f>
        <v>#NAME?</v>
      </c>
      <c r="G39" s="178" t="e">
        <f ca="1"/>
        <v>#NAME?</v>
      </c>
      <c r="H39" s="178" t="e">
        <f ca="1"/>
        <v>#NAME?</v>
      </c>
      <c r="I39" s="343" t="e">
        <f ca="1"/>
        <v>#NAME?</v>
      </c>
      <c r="J39"/>
      <c r="K39" s="343" t="e">
        <f t="array" aca="1" ref="K39:K41" ca="1">LINEQU(A39:D42)</f>
        <v>#NAME?</v>
      </c>
      <c r="M39" s="367" t="e">
        <f ca="1">MRANK(A39:D42)</f>
        <v>#NAME?</v>
      </c>
      <c r="N39"/>
    </row>
    <row r="40" spans="1:15" s="352" customFormat="1" x14ac:dyDescent="0.25">
      <c r="A40" s="68">
        <v>-1</v>
      </c>
      <c r="B40" s="8">
        <v>2</v>
      </c>
      <c r="C40" s="8">
        <v>1</v>
      </c>
      <c r="D40" s="91">
        <v>3</v>
      </c>
      <c r="E40"/>
      <c r="F40" s="68" t="e">
        <f ca="1"/>
        <v>#NAME?</v>
      </c>
      <c r="G40" s="8" t="e">
        <f ca="1"/>
        <v>#NAME?</v>
      </c>
      <c r="H40" s="8" t="e">
        <f ca="1"/>
        <v>#NAME?</v>
      </c>
      <c r="I40" s="91" t="e">
        <f ca="1"/>
        <v>#NAME?</v>
      </c>
      <c r="J40"/>
      <c r="K40" s="91" t="e">
        <f ca="1"/>
        <v>#NAME?</v>
      </c>
      <c r="M40" s="367" t="e">
        <f ca="1">MRANK(A39:C41)</f>
        <v>#NAME?</v>
      </c>
      <c r="N40"/>
    </row>
    <row r="41" spans="1:15" s="352" customFormat="1" x14ac:dyDescent="0.25">
      <c r="A41" s="68">
        <v>0</v>
      </c>
      <c r="B41" s="8">
        <v>1</v>
      </c>
      <c r="C41" s="8">
        <v>-3</v>
      </c>
      <c r="D41" s="91">
        <v>2</v>
      </c>
      <c r="E41"/>
      <c r="F41" s="68" t="e">
        <f ca="1"/>
        <v>#NAME?</v>
      </c>
      <c r="G41" s="8" t="e">
        <f ca="1"/>
        <v>#NAME?</v>
      </c>
      <c r="H41" s="8" t="e">
        <f ca="1"/>
        <v>#NAME?</v>
      </c>
      <c r="I41" s="91" t="e">
        <f ca="1"/>
        <v>#NAME?</v>
      </c>
      <c r="J41"/>
      <c r="K41" s="85" t="e">
        <f ca="1"/>
        <v>#NAME?</v>
      </c>
      <c r="M41" s="65"/>
    </row>
    <row r="42" spans="1:15" x14ac:dyDescent="0.25">
      <c r="A42" s="80">
        <v>2</v>
      </c>
      <c r="B42" s="334">
        <v>2</v>
      </c>
      <c r="C42" s="334">
        <v>0</v>
      </c>
      <c r="D42" s="85">
        <v>6</v>
      </c>
      <c r="F42" s="80" t="e">
        <f ca="1"/>
        <v>#NAME?</v>
      </c>
      <c r="G42" s="334" t="e">
        <f ca="1"/>
        <v>#NAME?</v>
      </c>
      <c r="H42" s="334" t="e">
        <f ca="1"/>
        <v>#NAME?</v>
      </c>
      <c r="I42" s="85" t="e">
        <f ca="1"/>
        <v>#NAME?</v>
      </c>
      <c r="K42" s="8"/>
    </row>
    <row r="43" spans="1:15" x14ac:dyDescent="0.25">
      <c r="A43" s="8"/>
      <c r="B43" s="8"/>
      <c r="C43" s="8"/>
      <c r="D43" s="8"/>
      <c r="F43" s="8"/>
      <c r="G43" s="8"/>
      <c r="H43" s="8"/>
      <c r="I43" s="8"/>
      <c r="K43" s="8"/>
    </row>
    <row r="44" spans="1:15" x14ac:dyDescent="0.25">
      <c r="A44" s="8" t="s">
        <v>754</v>
      </c>
      <c r="B44" s="8"/>
      <c r="C44" s="8"/>
      <c r="D44" s="8"/>
      <c r="F44" s="8"/>
      <c r="G44" s="8"/>
      <c r="H44" s="8"/>
      <c r="I44" s="8"/>
      <c r="K44" s="8"/>
    </row>
    <row r="46" spans="1:15" x14ac:dyDescent="0.25">
      <c r="A46" s="308">
        <v>1</v>
      </c>
      <c r="B46" s="178">
        <v>2</v>
      </c>
      <c r="C46" s="178">
        <v>4</v>
      </c>
      <c r="D46" s="343">
        <v>0</v>
      </c>
      <c r="F46" s="308" t="e">
        <f t="array" aca="1" ref="F46:I48" ca="1">ELIM(A46:D48)</f>
        <v>#NAME?</v>
      </c>
      <c r="G46" s="178" t="e">
        <f ca="1"/>
        <v>#NAME?</v>
      </c>
      <c r="H46" s="178" t="e">
        <f ca="1"/>
        <v>#NAME?</v>
      </c>
      <c r="I46" s="343" t="e">
        <f ca="1"/>
        <v>#NAME?</v>
      </c>
      <c r="K46" s="343" t="e">
        <f t="array" aca="1" ref="K46:K48" ca="1">LINEQU(A46:D48)</f>
        <v>#NAME?</v>
      </c>
      <c r="M46" s="367" t="e">
        <f ca="1">MRANK(A46:D48)</f>
        <v>#NAME?</v>
      </c>
    </row>
    <row r="47" spans="1:15" x14ac:dyDescent="0.25">
      <c r="A47" s="68">
        <v>-1</v>
      </c>
      <c r="B47" s="8">
        <v>-2</v>
      </c>
      <c r="C47" s="8">
        <v>1</v>
      </c>
      <c r="D47" s="91">
        <v>0</v>
      </c>
      <c r="F47" s="68" t="e">
        <f ca="1"/>
        <v>#NAME?</v>
      </c>
      <c r="G47" s="8" t="e">
        <f ca="1"/>
        <v>#NAME?</v>
      </c>
      <c r="H47" s="8" t="e">
        <f ca="1"/>
        <v>#NAME?</v>
      </c>
      <c r="I47" s="91" t="e">
        <f ca="1"/>
        <v>#NAME?</v>
      </c>
      <c r="K47" s="91" t="e">
        <f ca="1"/>
        <v>#NAME?</v>
      </c>
      <c r="M47" s="367" t="e">
        <f ca="1">MRANK(A46:C48)</f>
        <v>#NAME?</v>
      </c>
    </row>
    <row r="48" spans="1:15" x14ac:dyDescent="0.25">
      <c r="A48" s="80">
        <v>1</v>
      </c>
      <c r="B48" s="334">
        <v>1</v>
      </c>
      <c r="C48" s="334">
        <v>2</v>
      </c>
      <c r="D48" s="85">
        <v>0</v>
      </c>
      <c r="F48" s="80" t="e">
        <f ca="1"/>
        <v>#NAME?</v>
      </c>
      <c r="G48" s="334" t="e">
        <f ca="1"/>
        <v>#NAME?</v>
      </c>
      <c r="H48" s="334" t="e">
        <f ca="1"/>
        <v>#NAME?</v>
      </c>
      <c r="I48" s="85" t="e">
        <f ca="1"/>
        <v>#NAME?</v>
      </c>
      <c r="K48" s="85" t="e">
        <f ca="1"/>
        <v>#NAME?</v>
      </c>
    </row>
    <row r="49" spans="1:17" x14ac:dyDescent="0.25">
      <c r="A49" s="8"/>
      <c r="B49" s="8"/>
      <c r="C49" s="8"/>
      <c r="D49" s="8"/>
      <c r="F49" s="8"/>
      <c r="G49" s="8"/>
      <c r="H49" s="8"/>
      <c r="I49" s="8"/>
      <c r="K49" s="8"/>
    </row>
    <row r="50" spans="1:17" x14ac:dyDescent="0.25">
      <c r="A50" s="8" t="s">
        <v>755</v>
      </c>
      <c r="B50" s="8"/>
      <c r="C50" s="8"/>
      <c r="D50" s="8"/>
      <c r="F50" s="8"/>
      <c r="G50" s="8"/>
      <c r="H50" s="8"/>
      <c r="I50" s="8"/>
      <c r="K50" s="8"/>
    </row>
    <row r="52" spans="1:17" x14ac:dyDescent="0.25">
      <c r="A52" s="308">
        <v>1</v>
      </c>
      <c r="B52" s="178">
        <v>1</v>
      </c>
      <c r="C52" s="178">
        <v>2</v>
      </c>
      <c r="D52" s="343">
        <v>0</v>
      </c>
      <c r="F52" s="308" t="e">
        <f t="array" aca="1" ref="F52:I54" ca="1">ELIM(A52:D54)</f>
        <v>#NAME?</v>
      </c>
      <c r="G52" s="178" t="e">
        <f ca="1"/>
        <v>#NAME?</v>
      </c>
      <c r="H52" s="178" t="e">
        <f ca="1"/>
        <v>#NAME?</v>
      </c>
      <c r="I52" s="343" t="e">
        <f ca="1"/>
        <v>#NAME?</v>
      </c>
      <c r="K52" s="343" t="e">
        <f t="array" aca="1" ref="K52:K54" ca="1">LINEQU(A52:D54)</f>
        <v>#NAME?</v>
      </c>
      <c r="M52" s="367" t="e">
        <f ca="1">MRANK(A52:D54)</f>
        <v>#NAME?</v>
      </c>
    </row>
    <row r="53" spans="1:17" x14ac:dyDescent="0.25">
      <c r="A53" s="68">
        <v>-1</v>
      </c>
      <c r="B53" s="8">
        <v>3</v>
      </c>
      <c r="C53" s="8">
        <v>-4</v>
      </c>
      <c r="D53" s="91">
        <v>0</v>
      </c>
      <c r="F53" s="68" t="e">
        <f ca="1"/>
        <v>#NAME?</v>
      </c>
      <c r="G53" s="8" t="e">
        <f ca="1"/>
        <v>#NAME?</v>
      </c>
      <c r="H53" s="8" t="e">
        <f ca="1"/>
        <v>#NAME?</v>
      </c>
      <c r="I53" s="91" t="e">
        <f ca="1"/>
        <v>#NAME?</v>
      </c>
      <c r="K53" s="91" t="e">
        <f ca="1"/>
        <v>#NAME?</v>
      </c>
      <c r="M53" s="367" t="e">
        <f ca="1">MRANK(A52:C54)</f>
        <v>#NAME?</v>
      </c>
    </row>
    <row r="54" spans="1:17" x14ac:dyDescent="0.25">
      <c r="A54" s="80">
        <v>1</v>
      </c>
      <c r="B54" s="334">
        <v>-3</v>
      </c>
      <c r="C54" s="334">
        <v>4</v>
      </c>
      <c r="D54" s="85">
        <v>0</v>
      </c>
      <c r="F54" s="80" t="e">
        <f ca="1"/>
        <v>#NAME?</v>
      </c>
      <c r="G54" s="334" t="e">
        <f ca="1"/>
        <v>#NAME?</v>
      </c>
      <c r="H54" s="334" t="e">
        <f ca="1"/>
        <v>#NAME?</v>
      </c>
      <c r="I54" s="85" t="e">
        <f ca="1"/>
        <v>#NAME?</v>
      </c>
      <c r="K54" s="85" t="e">
        <f ca="1"/>
        <v>#NAME?</v>
      </c>
    </row>
    <row r="55" spans="1:17" x14ac:dyDescent="0.25">
      <c r="A55" s="8"/>
      <c r="B55" s="8"/>
      <c r="C55" s="8"/>
      <c r="D55" s="8"/>
      <c r="F55" s="8"/>
      <c r="G55" s="8"/>
      <c r="H55" s="8"/>
      <c r="I55" s="8"/>
      <c r="K55" s="8"/>
    </row>
    <row r="56" spans="1:17" x14ac:dyDescent="0.25">
      <c r="A56" s="8" t="s">
        <v>756</v>
      </c>
      <c r="B56" s="8"/>
      <c r="C56" s="8"/>
      <c r="D56" s="8"/>
      <c r="F56" s="8"/>
      <c r="G56" s="8"/>
      <c r="H56" s="8"/>
      <c r="I56" s="8"/>
      <c r="K56" s="8"/>
    </row>
    <row r="58" spans="1:17" x14ac:dyDescent="0.25">
      <c r="A58" s="308">
        <v>1</v>
      </c>
      <c r="B58" s="178">
        <v>2</v>
      </c>
      <c r="C58" s="178">
        <v>0</v>
      </c>
      <c r="D58" s="308">
        <v>1</v>
      </c>
      <c r="E58" s="364">
        <v>0</v>
      </c>
      <c r="F58" s="365">
        <v>0</v>
      </c>
      <c r="H58" s="308" t="e">
        <f t="array" aca="1" ref="H58:M60" ca="1">ELIM(A58:F60)</f>
        <v>#NAME?</v>
      </c>
      <c r="I58" s="178" t="e">
        <f ca="1"/>
        <v>#NAME?</v>
      </c>
      <c r="J58" s="178" t="e">
        <f ca="1"/>
        <v>#NAME?</v>
      </c>
      <c r="K58" s="308" t="e">
        <f ca="1"/>
        <v>#NAME?</v>
      </c>
      <c r="L58" s="178" t="e">
        <f ca="1"/>
        <v>#NAME?</v>
      </c>
      <c r="M58" s="318" t="e">
        <f ca="1"/>
        <v>#NAME?</v>
      </c>
      <c r="O58" s="308">
        <f t="array" ref="O58:Q60">MINVERSE(A58:C60)</f>
        <v>0.38461538461538458</v>
      </c>
      <c r="P58" s="178">
        <v>-0.46153846153846156</v>
      </c>
      <c r="Q58" s="309">
        <v>0.15384615384615385</v>
      </c>
    </row>
    <row r="59" spans="1:17" x14ac:dyDescent="0.25">
      <c r="A59" s="68">
        <v>-1</v>
      </c>
      <c r="B59" s="8">
        <v>2</v>
      </c>
      <c r="C59" s="8">
        <v>1</v>
      </c>
      <c r="D59" s="68">
        <v>0</v>
      </c>
      <c r="E59" s="296">
        <v>1</v>
      </c>
      <c r="F59" s="98">
        <v>0</v>
      </c>
      <c r="H59" s="68" t="e">
        <f ca="1"/>
        <v>#NAME?</v>
      </c>
      <c r="I59" s="8" t="e">
        <f ca="1"/>
        <v>#NAME?</v>
      </c>
      <c r="J59" s="8" t="e">
        <f ca="1"/>
        <v>#NAME?</v>
      </c>
      <c r="K59" s="68" t="e">
        <f ca="1"/>
        <v>#NAME?</v>
      </c>
      <c r="L59" s="8" t="e">
        <f ca="1"/>
        <v>#NAME?</v>
      </c>
      <c r="M59" s="89" t="e">
        <f ca="1"/>
        <v>#NAME?</v>
      </c>
      <c r="O59" s="68">
        <v>0.30769230769230771</v>
      </c>
      <c r="P59" s="8">
        <v>0.23076923076923078</v>
      </c>
      <c r="Q59" s="93">
        <v>-7.6923076923076927E-2</v>
      </c>
    </row>
    <row r="60" spans="1:17" x14ac:dyDescent="0.25">
      <c r="A60" s="80">
        <v>1</v>
      </c>
      <c r="B60" s="334">
        <v>1</v>
      </c>
      <c r="C60" s="334">
        <v>3</v>
      </c>
      <c r="D60" s="80">
        <v>0</v>
      </c>
      <c r="E60" s="366">
        <v>0</v>
      </c>
      <c r="F60" s="100">
        <v>1</v>
      </c>
      <c r="H60" s="80" t="e">
        <f ca="1"/>
        <v>#NAME?</v>
      </c>
      <c r="I60" s="334" t="e">
        <f ca="1"/>
        <v>#NAME?</v>
      </c>
      <c r="J60" s="334" t="e">
        <f ca="1"/>
        <v>#NAME?</v>
      </c>
      <c r="K60" s="80" t="e">
        <f ca="1"/>
        <v>#NAME?</v>
      </c>
      <c r="L60" s="334" t="e">
        <f ca="1"/>
        <v>#NAME?</v>
      </c>
      <c r="M60" s="82" t="e">
        <f ca="1"/>
        <v>#NAME?</v>
      </c>
      <c r="O60" s="80">
        <v>-0.23076923076923078</v>
      </c>
      <c r="P60" s="334">
        <v>7.6923076923076927E-2</v>
      </c>
      <c r="Q60" s="83">
        <v>0.30769230769230771</v>
      </c>
    </row>
    <row r="62" spans="1:17" x14ac:dyDescent="0.25">
      <c r="A62" s="8" t="s">
        <v>757</v>
      </c>
      <c r="B62" s="8"/>
      <c r="C62" s="8"/>
      <c r="D62" s="8"/>
      <c r="F62" s="8"/>
      <c r="G62" s="8"/>
      <c r="H62" s="8"/>
      <c r="I62" s="8"/>
      <c r="K62" s="8"/>
    </row>
    <row r="64" spans="1:17" x14ac:dyDescent="0.25">
      <c r="A64" s="308">
        <v>1</v>
      </c>
      <c r="B64" s="178">
        <v>1</v>
      </c>
      <c r="C64" s="178">
        <v>2</v>
      </c>
      <c r="D64" s="308">
        <v>1</v>
      </c>
      <c r="E64" s="364">
        <v>0</v>
      </c>
      <c r="F64" s="365">
        <v>0</v>
      </c>
      <c r="H64" s="308" t="e">
        <f t="array" aca="1" ref="H64:M66" ca="1">ELIM(A64:F66)</f>
        <v>#NAME?</v>
      </c>
      <c r="I64" s="178" t="e">
        <f ca="1"/>
        <v>#NAME?</v>
      </c>
      <c r="J64" s="178" t="e">
        <f ca="1"/>
        <v>#NAME?</v>
      </c>
      <c r="K64" s="308" t="e">
        <f ca="1"/>
        <v>#NAME?</v>
      </c>
      <c r="L64" s="178" t="e">
        <f ca="1"/>
        <v>#NAME?</v>
      </c>
      <c r="M64" s="318" t="e">
        <f ca="1"/>
        <v>#NAME?</v>
      </c>
      <c r="O64" s="308" t="e">
        <f t="array" ref="O64:Q66">MINVERSE(A64:C66)</f>
        <v>#NUM!</v>
      </c>
      <c r="P64" s="178" t="e">
        <v>#NUM!</v>
      </c>
      <c r="Q64" s="309" t="e">
        <v>#NUM!</v>
      </c>
    </row>
    <row r="65" spans="1:17" x14ac:dyDescent="0.25">
      <c r="A65" s="68">
        <v>-1</v>
      </c>
      <c r="B65" s="8">
        <v>3</v>
      </c>
      <c r="C65" s="8">
        <v>-4</v>
      </c>
      <c r="D65" s="68">
        <v>0</v>
      </c>
      <c r="E65" s="296">
        <v>1</v>
      </c>
      <c r="F65" s="98">
        <v>0</v>
      </c>
      <c r="H65" s="68" t="e">
        <f ca="1"/>
        <v>#NAME?</v>
      </c>
      <c r="I65" s="8" t="e">
        <f ca="1"/>
        <v>#NAME?</v>
      </c>
      <c r="J65" s="8" t="e">
        <f ca="1"/>
        <v>#NAME?</v>
      </c>
      <c r="K65" s="68" t="e">
        <f ca="1"/>
        <v>#NAME?</v>
      </c>
      <c r="L65" s="8" t="e">
        <f ca="1"/>
        <v>#NAME?</v>
      </c>
      <c r="M65" s="89" t="e">
        <f ca="1"/>
        <v>#NAME?</v>
      </c>
      <c r="O65" s="68" t="e">
        <v>#NUM!</v>
      </c>
      <c r="P65" s="8" t="e">
        <v>#NUM!</v>
      </c>
      <c r="Q65" s="93" t="e">
        <v>#NUM!</v>
      </c>
    </row>
    <row r="66" spans="1:17" x14ac:dyDescent="0.25">
      <c r="A66" s="80">
        <v>1</v>
      </c>
      <c r="B66" s="334">
        <v>-3</v>
      </c>
      <c r="C66" s="334">
        <v>4</v>
      </c>
      <c r="D66" s="80">
        <v>0</v>
      </c>
      <c r="E66" s="366">
        <v>0</v>
      </c>
      <c r="F66" s="100">
        <v>1</v>
      </c>
      <c r="H66" s="80" t="e">
        <f ca="1"/>
        <v>#NAME?</v>
      </c>
      <c r="I66" s="334" t="e">
        <f ca="1"/>
        <v>#NAME?</v>
      </c>
      <c r="J66" s="334" t="e">
        <f ca="1"/>
        <v>#NAME?</v>
      </c>
      <c r="K66" s="80" t="e">
        <f ca="1"/>
        <v>#NAME?</v>
      </c>
      <c r="L66" s="334" t="e">
        <f ca="1"/>
        <v>#NAME?</v>
      </c>
      <c r="M66" s="82" t="e">
        <f ca="1"/>
        <v>#NAME?</v>
      </c>
      <c r="O66" s="80" t="e">
        <v>#NUM!</v>
      </c>
      <c r="P66" s="334" t="e">
        <v>#NUM!</v>
      </c>
      <c r="Q66" s="83" t="e">
        <v>#NUM!</v>
      </c>
    </row>
    <row r="68" spans="1:17" x14ac:dyDescent="0.25">
      <c r="A68" t="s">
        <v>758</v>
      </c>
    </row>
    <row r="70" spans="1:17" x14ac:dyDescent="0.25">
      <c r="A70" s="93"/>
      <c r="B70" s="178">
        <v>2</v>
      </c>
      <c r="C70" s="178">
        <v>0</v>
      </c>
      <c r="D70" s="343">
        <v>4</v>
      </c>
      <c r="G70" s="308" t="e">
        <f t="array" aca="1" ref="G70:I73" ca="1">ELIM(B70:D73)</f>
        <v>#NAME?</v>
      </c>
      <c r="H70" s="178" t="e">
        <f ca="1"/>
        <v>#NAME?</v>
      </c>
      <c r="I70" s="343" t="e">
        <f ca="1"/>
        <v>#NAME?</v>
      </c>
      <c r="K70" s="343" t="e">
        <f t="array" aca="1" ref="K70:K71" ca="1">LINEQU(B70:D73)</f>
        <v>#NAME?</v>
      </c>
      <c r="M70" s="367" t="e">
        <f ca="1">MRANK(B70:D73)</f>
        <v>#NAME?</v>
      </c>
    </row>
    <row r="71" spans="1:17" x14ac:dyDescent="0.25">
      <c r="A71" s="93"/>
      <c r="B71" s="8">
        <v>2</v>
      </c>
      <c r="C71" s="8">
        <v>1</v>
      </c>
      <c r="D71" s="91">
        <v>3</v>
      </c>
      <c r="G71" s="68" t="e">
        <f ca="1"/>
        <v>#NAME?</v>
      </c>
      <c r="H71" s="8" t="e">
        <f ca="1"/>
        <v>#NAME?</v>
      </c>
      <c r="I71" s="91" t="e">
        <f ca="1"/>
        <v>#NAME?</v>
      </c>
      <c r="K71" s="85" t="e">
        <f ca="1"/>
        <v>#NAME?</v>
      </c>
      <c r="M71" s="102" t="e">
        <f ca="1">MRANK(B70:C73)</f>
        <v>#NAME?</v>
      </c>
    </row>
    <row r="72" spans="1:17" x14ac:dyDescent="0.25">
      <c r="A72" s="93"/>
      <c r="B72" s="8">
        <v>1</v>
      </c>
      <c r="C72" s="8">
        <v>-3</v>
      </c>
      <c r="D72" s="91">
        <v>5</v>
      </c>
      <c r="G72" s="68" t="e">
        <f ca="1"/>
        <v>#NAME?</v>
      </c>
      <c r="H72" s="8" t="e">
        <f ca="1"/>
        <v>#NAME?</v>
      </c>
      <c r="I72" s="91" t="e">
        <f ca="1"/>
        <v>#NAME?</v>
      </c>
    </row>
    <row r="73" spans="1:17" x14ac:dyDescent="0.25">
      <c r="A73" s="93"/>
      <c r="B73" s="334">
        <v>1</v>
      </c>
      <c r="C73" s="334">
        <v>3</v>
      </c>
      <c r="D73" s="85">
        <v>-1</v>
      </c>
      <c r="G73" s="80" t="e">
        <f ca="1"/>
        <v>#NAME?</v>
      </c>
      <c r="H73" s="334" t="e">
        <f ca="1"/>
        <v>#NAME?</v>
      </c>
      <c r="I73" s="85" t="e">
        <f ca="1"/>
        <v>#NAME?</v>
      </c>
    </row>
    <row r="75" spans="1:17" x14ac:dyDescent="0.25">
      <c r="A75" t="s">
        <v>759</v>
      </c>
    </row>
    <row r="77" spans="1:17" x14ac:dyDescent="0.25">
      <c r="A77" s="93"/>
      <c r="B77" s="178">
        <v>2</v>
      </c>
      <c r="C77" s="178">
        <v>0</v>
      </c>
      <c r="D77" s="343">
        <v>4</v>
      </c>
      <c r="G77" s="308" t="e">
        <f t="array" aca="1" ref="G77:I80" ca="1">ELIM(B77:D80)</f>
        <v>#NAME?</v>
      </c>
      <c r="H77" s="178" t="e">
        <f ca="1"/>
        <v>#NAME?</v>
      </c>
      <c r="I77" s="343" t="e">
        <f ca="1"/>
        <v>#NAME?</v>
      </c>
      <c r="K77" s="343" t="e">
        <f t="array" aca="1" ref="K77:K78" ca="1">LINEQU(B77:D80)</f>
        <v>#NAME?</v>
      </c>
      <c r="M77" s="367" t="e">
        <f ca="1">MRANK(B77:D80)</f>
        <v>#NAME?</v>
      </c>
    </row>
    <row r="78" spans="1:17" x14ac:dyDescent="0.25">
      <c r="A78" s="93"/>
      <c r="B78" s="8">
        <v>2</v>
      </c>
      <c r="C78" s="8">
        <v>1</v>
      </c>
      <c r="D78" s="91">
        <v>3</v>
      </c>
      <c r="G78" s="68" t="e">
        <f ca="1"/>
        <v>#NAME?</v>
      </c>
      <c r="H78" s="8" t="e">
        <f ca="1"/>
        <v>#NAME?</v>
      </c>
      <c r="I78" s="91" t="e">
        <f ca="1"/>
        <v>#NAME?</v>
      </c>
      <c r="K78" s="85" t="e">
        <f ca="1"/>
        <v>#NAME?</v>
      </c>
      <c r="M78" s="102" t="e">
        <f ca="1">MRANK(B77:C80)</f>
        <v>#NAME?</v>
      </c>
    </row>
    <row r="79" spans="1:17" x14ac:dyDescent="0.25">
      <c r="A79" s="93"/>
      <c r="B79" s="8">
        <v>1</v>
      </c>
      <c r="C79" s="8">
        <v>-3</v>
      </c>
      <c r="D79" s="91">
        <v>5</v>
      </c>
      <c r="G79" s="68" t="e">
        <f ca="1"/>
        <v>#NAME?</v>
      </c>
      <c r="H79" s="8" t="e">
        <f ca="1"/>
        <v>#NAME?</v>
      </c>
      <c r="I79" s="91" t="e">
        <f ca="1"/>
        <v>#NAME?</v>
      </c>
    </row>
    <row r="80" spans="1:17" x14ac:dyDescent="0.25">
      <c r="A80" s="93"/>
      <c r="B80" s="334">
        <v>1</v>
      </c>
      <c r="C80" s="334">
        <v>2</v>
      </c>
      <c r="D80" s="85">
        <v>-1</v>
      </c>
      <c r="G80" s="80" t="e">
        <f ca="1"/>
        <v>#NAME?</v>
      </c>
      <c r="H80" s="334" t="e">
        <f ca="1"/>
        <v>#NAME?</v>
      </c>
      <c r="I80" s="85" t="e">
        <f ca="1"/>
        <v>#NAME?</v>
      </c>
    </row>
    <row r="82" spans="1:13" x14ac:dyDescent="0.25">
      <c r="A82" t="s">
        <v>760</v>
      </c>
    </row>
    <row r="84" spans="1:13" x14ac:dyDescent="0.25">
      <c r="A84" s="93"/>
      <c r="B84" s="178">
        <v>2</v>
      </c>
      <c r="C84" s="178">
        <v>1</v>
      </c>
      <c r="D84" s="343">
        <v>5</v>
      </c>
      <c r="G84" s="308" t="e">
        <f t="array" aca="1" ref="G84:I87" ca="1">ELIM(B84:D87)</f>
        <v>#NAME?</v>
      </c>
      <c r="H84" s="178" t="e">
        <f ca="1"/>
        <v>#NAME?</v>
      </c>
      <c r="I84" s="343" t="e">
        <f ca="1"/>
        <v>#NAME?</v>
      </c>
      <c r="K84" s="343" t="e">
        <f t="array" aca="1" ref="K84:K85" ca="1">LINEQU(B84:D87)</f>
        <v>#NAME?</v>
      </c>
      <c r="M84" s="367" t="e">
        <f ca="1">MRANK(B84:D87)</f>
        <v>#NAME?</v>
      </c>
    </row>
    <row r="85" spans="1:13" x14ac:dyDescent="0.25">
      <c r="A85" s="93"/>
      <c r="B85" s="8">
        <v>4</v>
      </c>
      <c r="C85" s="8">
        <v>2</v>
      </c>
      <c r="D85" s="91">
        <v>10</v>
      </c>
      <c r="G85" s="68" t="e">
        <f ca="1"/>
        <v>#NAME?</v>
      </c>
      <c r="H85" s="8" t="e">
        <f ca="1"/>
        <v>#NAME?</v>
      </c>
      <c r="I85" s="91" t="e">
        <f ca="1"/>
        <v>#NAME?</v>
      </c>
      <c r="K85" s="85" t="e">
        <f ca="1"/>
        <v>#NAME?</v>
      </c>
      <c r="M85" s="102" t="e">
        <f ca="1">MRANK(B84:C87)</f>
        <v>#NAME?</v>
      </c>
    </row>
    <row r="86" spans="1:13" x14ac:dyDescent="0.25">
      <c r="A86" s="93"/>
      <c r="B86" s="8">
        <v>-1</v>
      </c>
      <c r="C86" s="8">
        <v>-0.5</v>
      </c>
      <c r="D86" s="91">
        <v>-2.5</v>
      </c>
      <c r="G86" s="68" t="e">
        <f ca="1"/>
        <v>#NAME?</v>
      </c>
      <c r="H86" s="8" t="e">
        <f ca="1"/>
        <v>#NAME?</v>
      </c>
      <c r="I86" s="91" t="e">
        <f ca="1"/>
        <v>#NAME?</v>
      </c>
    </row>
    <row r="87" spans="1:13" x14ac:dyDescent="0.25">
      <c r="A87" s="93"/>
      <c r="B87" s="334">
        <v>3</v>
      </c>
      <c r="C87" s="334">
        <v>1.5</v>
      </c>
      <c r="D87" s="85">
        <v>7.5</v>
      </c>
      <c r="G87" s="80" t="e">
        <f ca="1"/>
        <v>#NAME?</v>
      </c>
      <c r="H87" s="334" t="e">
        <f ca="1"/>
        <v>#NAME?</v>
      </c>
      <c r="I87" s="85" t="e">
        <f ca="1"/>
        <v>#NAME?</v>
      </c>
    </row>
  </sheetData>
  <mergeCells count="6">
    <mergeCell ref="A11:C11"/>
    <mergeCell ref="F11:I11"/>
    <mergeCell ref="A24:C24"/>
    <mergeCell ref="F24:I24"/>
    <mergeCell ref="A32:C32"/>
    <mergeCell ref="F32:I3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S28"/>
  <sheetViews>
    <sheetView workbookViewId="0"/>
  </sheetViews>
  <sheetFormatPr defaultRowHeight="15" x14ac:dyDescent="0.25"/>
  <cols>
    <col min="5" max="5" width="7" customWidth="1"/>
    <col min="7" max="7" width="9.140625" customWidth="1"/>
    <col min="8" max="8" width="4.5703125" customWidth="1"/>
    <col min="11" max="11" width="4.42578125" customWidth="1"/>
    <col min="14" max="14" width="4.28515625" customWidth="1"/>
    <col min="17" max="17" width="4.28515625" customWidth="1"/>
  </cols>
  <sheetData>
    <row r="1" spans="1:19" x14ac:dyDescent="0.25">
      <c r="A1" s="1" t="s">
        <v>761</v>
      </c>
    </row>
    <row r="3" spans="1:19" x14ac:dyDescent="0.25">
      <c r="A3" t="s">
        <v>762</v>
      </c>
      <c r="E3" t="s">
        <v>763</v>
      </c>
    </row>
    <row r="5" spans="1:19" ht="18.75" x14ac:dyDescent="0.35">
      <c r="A5" t="s">
        <v>764</v>
      </c>
      <c r="B5" t="s">
        <v>765</v>
      </c>
      <c r="E5" s="19" t="s">
        <v>766</v>
      </c>
      <c r="F5" t="s">
        <v>767</v>
      </c>
      <c r="H5" s="19" t="s">
        <v>768</v>
      </c>
      <c r="I5" s="22" t="s">
        <v>769</v>
      </c>
      <c r="J5" s="19" t="s">
        <v>770</v>
      </c>
      <c r="K5" s="368">
        <v>1</v>
      </c>
    </row>
    <row r="6" spans="1:19" ht="18.75" x14ac:dyDescent="0.35">
      <c r="A6" t="s">
        <v>771</v>
      </c>
      <c r="B6" t="s">
        <v>772</v>
      </c>
      <c r="E6" s="19" t="s">
        <v>773</v>
      </c>
      <c r="F6" t="s">
        <v>774</v>
      </c>
      <c r="H6" s="19" t="s">
        <v>775</v>
      </c>
      <c r="I6" s="368">
        <v>1</v>
      </c>
      <c r="J6" s="19" t="s">
        <v>776</v>
      </c>
      <c r="K6" s="368">
        <v>1</v>
      </c>
    </row>
    <row r="8" spans="1:19" x14ac:dyDescent="0.25">
      <c r="A8" s="272" t="s">
        <v>777</v>
      </c>
      <c r="B8" s="272" t="s">
        <v>28</v>
      </c>
      <c r="E8" t="s">
        <v>777</v>
      </c>
      <c r="F8">
        <v>0</v>
      </c>
      <c r="I8">
        <v>1</v>
      </c>
      <c r="L8">
        <v>2</v>
      </c>
      <c r="O8">
        <v>3</v>
      </c>
      <c r="R8">
        <v>4</v>
      </c>
    </row>
    <row r="9" spans="1:19" x14ac:dyDescent="0.25">
      <c r="A9">
        <v>0</v>
      </c>
      <c r="B9">
        <v>2</v>
      </c>
      <c r="E9" t="s">
        <v>28</v>
      </c>
      <c r="F9">
        <v>1</v>
      </c>
      <c r="I9">
        <f t="array" ref="I9:I10">F9:F10-MMULT(F17:G18,F11:F12)</f>
        <v>0.80682426410998542</v>
      </c>
      <c r="L9">
        <f t="array" ref="L9:L10">I9:I10-MMULT(I17:J18,I11:I12)</f>
        <v>0.79213495965638669</v>
      </c>
      <c r="O9">
        <f t="array" ref="O9:O10">L9:L10-MMULT(L17:M18,L11:L12)</f>
        <v>0.79205997036599018</v>
      </c>
      <c r="R9">
        <f t="array" ref="R9:R10">O9:O10-MMULT(O17:P18,O11:O12)</f>
        <v>0.79205996843067694</v>
      </c>
    </row>
    <row r="10" spans="1:19" x14ac:dyDescent="0.25">
      <c r="A10">
        <f t="shared" ref="A10:A15" si="0">A9+1</f>
        <v>1</v>
      </c>
      <c r="B10">
        <f t="shared" ref="B10:B15" si="1">B9-(EXP(B9)+B9-3)/(EXP(B9)+1)</f>
        <v>1.2384058440442351</v>
      </c>
      <c r="E10" t="s">
        <v>606</v>
      </c>
      <c r="F10">
        <v>1</v>
      </c>
      <c r="I10">
        <v>2.1931757358900148</v>
      </c>
      <c r="L10">
        <v>2.2078650403436133</v>
      </c>
      <c r="O10">
        <v>2.2079400296340097</v>
      </c>
      <c r="R10">
        <v>2.2079400315693229</v>
      </c>
    </row>
    <row r="11" spans="1:19" x14ac:dyDescent="0.25">
      <c r="A11">
        <f t="shared" si="0"/>
        <v>2</v>
      </c>
      <c r="B11">
        <f t="shared" si="1"/>
        <v>0.85897359073089996</v>
      </c>
      <c r="E11" t="s">
        <v>778</v>
      </c>
      <c r="F11">
        <f>F10-EXP(F9)</f>
        <v>-1.7182818284590451</v>
      </c>
      <c r="I11">
        <f>I10-EXP(I9)</f>
        <v>-4.7604812137273189E-2</v>
      </c>
      <c r="L11">
        <f>L10-EXP(L9)</f>
        <v>-2.4057356350404291E-4</v>
      </c>
      <c r="O11">
        <f>O10-EXP(O9)</f>
        <v>-6.2083689300607148E-9</v>
      </c>
      <c r="R11">
        <f>R10-EXP(R9)</f>
        <v>0</v>
      </c>
    </row>
    <row r="12" spans="1:19" x14ac:dyDescent="0.25">
      <c r="A12">
        <f t="shared" si="0"/>
        <v>3</v>
      </c>
      <c r="B12">
        <f t="shared" si="1"/>
        <v>0.79359804956294999</v>
      </c>
      <c r="E12" t="s">
        <v>779</v>
      </c>
      <c r="F12">
        <f>F9+F10-3</f>
        <v>-1</v>
      </c>
      <c r="I12">
        <f>I9+I10-3</f>
        <v>0</v>
      </c>
      <c r="L12">
        <f>L9+L10-3</f>
        <v>0</v>
      </c>
      <c r="O12">
        <f>O9+O10-3</f>
        <v>0</v>
      </c>
      <c r="R12">
        <f>R9+R10-3</f>
        <v>0</v>
      </c>
    </row>
    <row r="13" spans="1:19" x14ac:dyDescent="0.25">
      <c r="A13">
        <f t="shared" si="0"/>
        <v>4</v>
      </c>
      <c r="B13">
        <f t="shared" si="1"/>
        <v>0.79206078252553502</v>
      </c>
    </row>
    <row r="14" spans="1:19" x14ac:dyDescent="0.25">
      <c r="A14">
        <f t="shared" si="0"/>
        <v>5</v>
      </c>
      <c r="B14">
        <f t="shared" si="1"/>
        <v>0.7920599684309052</v>
      </c>
      <c r="E14" t="s">
        <v>210</v>
      </c>
      <c r="F14" s="196">
        <f>-EXP(F9)</f>
        <v>-2.7182818284590451</v>
      </c>
      <c r="G14" s="197">
        <v>1</v>
      </c>
      <c r="I14" s="196">
        <f>-EXP(I9)</f>
        <v>-2.240780548027288</v>
      </c>
      <c r="J14" s="197">
        <v>1</v>
      </c>
      <c r="L14" s="196">
        <f>-EXP(L9)</f>
        <v>-2.2081056139071173</v>
      </c>
      <c r="M14" s="197">
        <v>1</v>
      </c>
      <c r="O14" s="196">
        <f>-EXP(O9)</f>
        <v>-2.2079400358423786</v>
      </c>
      <c r="P14" s="197">
        <v>1</v>
      </c>
      <c r="R14" s="196">
        <f>-EXP(R9)</f>
        <v>-2.2079400315693229</v>
      </c>
      <c r="S14" s="197">
        <v>1</v>
      </c>
    </row>
    <row r="15" spans="1:19" x14ac:dyDescent="0.25">
      <c r="A15" s="334">
        <f t="shared" si="0"/>
        <v>6</v>
      </c>
      <c r="B15" s="334">
        <f t="shared" si="1"/>
        <v>0.79205996843067694</v>
      </c>
      <c r="F15" s="80">
        <v>1</v>
      </c>
      <c r="G15" s="83">
        <v>1</v>
      </c>
      <c r="I15" s="80">
        <v>1</v>
      </c>
      <c r="J15" s="83">
        <v>1</v>
      </c>
      <c r="L15" s="80">
        <v>1</v>
      </c>
      <c r="M15" s="83">
        <v>1</v>
      </c>
      <c r="O15" s="80">
        <v>1</v>
      </c>
      <c r="P15" s="83">
        <v>1</v>
      </c>
      <c r="R15" s="80">
        <v>1</v>
      </c>
      <c r="S15" s="83">
        <v>1</v>
      </c>
    </row>
    <row r="17" spans="1:19" ht="17.25" x14ac:dyDescent="0.25">
      <c r="E17" t="s">
        <v>780</v>
      </c>
      <c r="F17" s="196">
        <f t="array" ref="F17:G18">MINVERSE(F14:G15)</f>
        <v>-0.26894142136999516</v>
      </c>
      <c r="G17" s="197">
        <v>0.26894142136999516</v>
      </c>
      <c r="I17" s="196">
        <f t="array" ref="I17:J18">MINVERSE(I14:J15)</f>
        <v>-0.3085676383143916</v>
      </c>
      <c r="J17" s="197">
        <v>0.3085676383143916</v>
      </c>
      <c r="L17" s="196">
        <f t="array" ref="L17:M18">MINVERSE(L14:M15)</f>
        <v>-0.31171043611064625</v>
      </c>
      <c r="M17" s="197">
        <v>0.31171043611064625</v>
      </c>
      <c r="O17" s="196">
        <f t="array" ref="O17:P18">MINVERSE(O14:P15)</f>
        <v>-0.311726525068106</v>
      </c>
      <c r="P17" s="197">
        <v>0.311726525068106</v>
      </c>
      <c r="R17" s="196">
        <f t="array" ref="R17:S18">MINVERSE(R14:S15)</f>
        <v>-0.31172652548333341</v>
      </c>
      <c r="S17" s="197">
        <v>0.31172652548333341</v>
      </c>
    </row>
    <row r="18" spans="1:19" ht="17.25" x14ac:dyDescent="0.25">
      <c r="A18" t="s">
        <v>764</v>
      </c>
      <c r="B18" t="s">
        <v>781</v>
      </c>
      <c r="F18" s="80">
        <v>0.2689414213699951</v>
      </c>
      <c r="G18" s="83">
        <v>0.7310585786300049</v>
      </c>
      <c r="I18" s="80">
        <v>0.3085676383143916</v>
      </c>
      <c r="J18" s="83">
        <v>0.6914323616856084</v>
      </c>
      <c r="L18" s="80">
        <v>0.31171043611064625</v>
      </c>
      <c r="M18" s="83">
        <v>0.68828956388935381</v>
      </c>
      <c r="O18" s="80">
        <v>0.31172652506810594</v>
      </c>
      <c r="P18" s="83">
        <v>0.68827347493189406</v>
      </c>
      <c r="R18" s="80">
        <v>0.31172652548333346</v>
      </c>
      <c r="S18" s="83">
        <v>0.68827347451666654</v>
      </c>
    </row>
    <row r="19" spans="1:19" x14ac:dyDescent="0.25">
      <c r="A19" t="s">
        <v>771</v>
      </c>
      <c r="B19" t="s">
        <v>782</v>
      </c>
    </row>
    <row r="21" spans="1:19" x14ac:dyDescent="0.25">
      <c r="A21" s="272" t="s">
        <v>777</v>
      </c>
      <c r="B21" s="272" t="s">
        <v>28</v>
      </c>
      <c r="E21" t="s">
        <v>28</v>
      </c>
      <c r="F21" s="271">
        <f>B15</f>
        <v>0.79205996843067694</v>
      </c>
    </row>
    <row r="22" spans="1:19" x14ac:dyDescent="0.25">
      <c r="A22">
        <v>0</v>
      </c>
      <c r="B22">
        <v>2</v>
      </c>
      <c r="E22" t="s">
        <v>606</v>
      </c>
      <c r="F22" s="85">
        <f>3-F21</f>
        <v>2.2079400315693229</v>
      </c>
    </row>
    <row r="23" spans="1:19" x14ac:dyDescent="0.25">
      <c r="A23">
        <f t="shared" ref="A23:A28" si="2">A22+1</f>
        <v>1</v>
      </c>
      <c r="B23">
        <f t="shared" ref="B23:B28" si="3">B22-(B22^2-25)/(2*B22)</f>
        <v>7.25</v>
      </c>
    </row>
    <row r="24" spans="1:19" x14ac:dyDescent="0.25">
      <c r="A24">
        <f t="shared" si="2"/>
        <v>2</v>
      </c>
      <c r="B24">
        <f t="shared" si="3"/>
        <v>5.3491379310344822</v>
      </c>
    </row>
    <row r="25" spans="1:19" x14ac:dyDescent="0.25">
      <c r="A25">
        <f t="shared" si="2"/>
        <v>3</v>
      </c>
      <c r="B25">
        <f t="shared" si="3"/>
        <v>5.0113941065325518</v>
      </c>
    </row>
    <row r="26" spans="1:19" x14ac:dyDescent="0.25">
      <c r="A26">
        <f t="shared" si="2"/>
        <v>4</v>
      </c>
      <c r="B26">
        <f t="shared" si="3"/>
        <v>5.0000129530486843</v>
      </c>
    </row>
    <row r="27" spans="1:19" x14ac:dyDescent="0.25">
      <c r="A27">
        <f t="shared" si="2"/>
        <v>5</v>
      </c>
      <c r="B27">
        <f t="shared" si="3"/>
        <v>5.0000000000167777</v>
      </c>
    </row>
    <row r="28" spans="1:19" x14ac:dyDescent="0.25">
      <c r="A28" s="334">
        <f t="shared" si="2"/>
        <v>6</v>
      </c>
      <c r="B28" s="334">
        <f t="shared" si="3"/>
        <v>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N35"/>
  <sheetViews>
    <sheetView workbookViewId="0"/>
  </sheetViews>
  <sheetFormatPr defaultRowHeight="15" x14ac:dyDescent="0.25"/>
  <sheetData>
    <row r="1" spans="1:14" x14ac:dyDescent="0.25">
      <c r="A1" s="1" t="s">
        <v>783</v>
      </c>
    </row>
    <row r="3" spans="1:14" x14ac:dyDescent="0.25">
      <c r="A3" s="24" t="s">
        <v>178</v>
      </c>
      <c r="B3" s="24"/>
      <c r="C3" s="24"/>
      <c r="D3" s="24"/>
      <c r="F3" t="s">
        <v>784</v>
      </c>
      <c r="K3" t="s">
        <v>785</v>
      </c>
    </row>
    <row r="4" spans="1:14" x14ac:dyDescent="0.25">
      <c r="A4" s="196">
        <v>11.605357142857152</v>
      </c>
      <c r="B4" s="178">
        <v>2.3696428571428569</v>
      </c>
      <c r="C4" s="178">
        <v>-6.4232142857142875</v>
      </c>
      <c r="D4" s="197">
        <v>-7.5517857142857139</v>
      </c>
      <c r="F4" s="369">
        <v>1</v>
      </c>
      <c r="G4" s="355">
        <v>0</v>
      </c>
      <c r="H4" s="355">
        <v>0</v>
      </c>
      <c r="I4" s="370">
        <v>0</v>
      </c>
      <c r="K4" s="267">
        <v>22.958965332709731</v>
      </c>
      <c r="L4" s="371">
        <v>5.0580459738737513</v>
      </c>
      <c r="M4" s="371">
        <v>0.5901315505593363</v>
      </c>
      <c r="N4" s="268">
        <v>-3.3029134982598565E-15</v>
      </c>
    </row>
    <row r="5" spans="1:14" x14ac:dyDescent="0.25">
      <c r="A5" s="68">
        <v>2.3696428571428569</v>
      </c>
      <c r="B5" s="8">
        <v>5.448214285714279</v>
      </c>
      <c r="C5" s="8">
        <v>-3.9303571428571402</v>
      </c>
      <c r="D5" s="93">
        <v>-3.8875000000000028</v>
      </c>
      <c r="F5" s="357">
        <v>0</v>
      </c>
      <c r="G5" s="58">
        <v>1</v>
      </c>
      <c r="H5" s="58">
        <v>0</v>
      </c>
      <c r="I5" s="358">
        <v>0</v>
      </c>
      <c r="K5" s="372">
        <v>0.66161018507841729</v>
      </c>
      <c r="L5" s="8">
        <v>-0.5540037078053619</v>
      </c>
      <c r="M5" s="8">
        <v>-7.3156371823683883E-2</v>
      </c>
      <c r="N5" s="57">
        <v>-0.49999999999999961</v>
      </c>
    </row>
    <row r="6" spans="1:14" x14ac:dyDescent="0.25">
      <c r="A6" s="68">
        <v>-6.4232142857142875</v>
      </c>
      <c r="B6" s="8">
        <v>-3.9303571428571402</v>
      </c>
      <c r="C6" s="8">
        <v>5.2339285714285708</v>
      </c>
      <c r="D6" s="93">
        <v>5.1196428571428534</v>
      </c>
      <c r="F6" s="357">
        <v>0</v>
      </c>
      <c r="G6" s="58">
        <v>0</v>
      </c>
      <c r="H6" s="58">
        <v>1</v>
      </c>
      <c r="I6" s="373">
        <v>0</v>
      </c>
      <c r="K6" s="372">
        <v>0.30530890997537491</v>
      </c>
      <c r="L6" s="8">
        <v>0.80849805922602413</v>
      </c>
      <c r="M6" s="8">
        <v>5.5833302942682635E-2</v>
      </c>
      <c r="N6" s="57">
        <v>-0.50000000000000044</v>
      </c>
    </row>
    <row r="7" spans="1:14" x14ac:dyDescent="0.25">
      <c r="A7" s="80">
        <v>-7.5517857142857139</v>
      </c>
      <c r="B7" s="334">
        <v>-3.8875000000000028</v>
      </c>
      <c r="C7" s="334">
        <v>5.1196428571428534</v>
      </c>
      <c r="D7" s="83">
        <v>6.3196428571428527</v>
      </c>
      <c r="F7" s="359">
        <v>0</v>
      </c>
      <c r="G7" s="360">
        <v>0</v>
      </c>
      <c r="H7" s="360">
        <v>0</v>
      </c>
      <c r="I7" s="361">
        <v>1</v>
      </c>
      <c r="K7" s="372">
        <v>-0.45524461973669939</v>
      </c>
      <c r="L7" s="8">
        <v>-0.18652234974289764</v>
      </c>
      <c r="M7" s="8">
        <v>0.71271435319289655</v>
      </c>
      <c r="N7" s="57">
        <v>-0.49999999999999789</v>
      </c>
    </row>
    <row r="8" spans="1:14" x14ac:dyDescent="0.25">
      <c r="A8" s="58"/>
      <c r="B8" s="58"/>
      <c r="C8" s="58"/>
      <c r="D8" s="58"/>
      <c r="F8" s="58"/>
      <c r="G8" s="58"/>
      <c r="H8" s="58"/>
      <c r="I8" s="58"/>
      <c r="K8" s="159">
        <v>-0.51167447531701127</v>
      </c>
      <c r="L8" s="160">
        <v>-6.7972001677543123E-2</v>
      </c>
      <c r="M8" s="160">
        <v>-0.69539128431188757</v>
      </c>
      <c r="N8" s="161">
        <v>-0.500000000000002</v>
      </c>
    </row>
    <row r="9" spans="1:14" x14ac:dyDescent="0.25">
      <c r="A9" t="s">
        <v>786</v>
      </c>
      <c r="B9" t="s">
        <v>787</v>
      </c>
      <c r="D9" t="s">
        <v>788</v>
      </c>
      <c r="F9" t="s">
        <v>789</v>
      </c>
    </row>
    <row r="11" spans="1:14" x14ac:dyDescent="0.25">
      <c r="A11">
        <v>10</v>
      </c>
      <c r="B11">
        <v>5.0580465786852145</v>
      </c>
      <c r="D11">
        <f>MDETERM(F11:I14)</f>
        <v>-2.4467168906601759E-4</v>
      </c>
      <c r="F11" s="354">
        <f t="array" ref="F11:I14">$A$4:$D$7-B11*$F$4:$I$7</f>
        <v>6.5473105641719371</v>
      </c>
      <c r="G11" s="355">
        <v>2.3696428571428569</v>
      </c>
      <c r="H11" s="355">
        <v>-6.4232142857142875</v>
      </c>
      <c r="I11" s="356">
        <v>-7.5517857142857139</v>
      </c>
    </row>
    <row r="12" spans="1:14" x14ac:dyDescent="0.25">
      <c r="F12" s="357">
        <v>2.3696428571428569</v>
      </c>
      <c r="G12" s="58">
        <v>0.39016770702906456</v>
      </c>
      <c r="H12" s="58">
        <v>-3.9303571428571402</v>
      </c>
      <c r="I12" s="373">
        <v>-3.8875000000000028</v>
      </c>
    </row>
    <row r="13" spans="1:14" x14ac:dyDescent="0.25">
      <c r="F13" s="357">
        <v>-6.4232142857142875</v>
      </c>
      <c r="G13" s="58">
        <v>-3.9303571428571402</v>
      </c>
      <c r="H13" s="58">
        <v>0.17588199274335636</v>
      </c>
      <c r="I13" s="373">
        <v>5.1196428571428534</v>
      </c>
    </row>
    <row r="14" spans="1:14" x14ac:dyDescent="0.25">
      <c r="F14" s="375">
        <v>-7.5517857142857139</v>
      </c>
      <c r="G14" s="360">
        <v>-3.8875000000000028</v>
      </c>
      <c r="H14" s="360">
        <v>5.1196428571428534</v>
      </c>
      <c r="I14" s="374">
        <v>1.2615962784576382</v>
      </c>
    </row>
    <row r="16" spans="1:14" x14ac:dyDescent="0.25">
      <c r="A16" t="s">
        <v>786</v>
      </c>
      <c r="B16" t="s">
        <v>787</v>
      </c>
      <c r="D16" t="s">
        <v>788</v>
      </c>
      <c r="F16" t="s">
        <v>789</v>
      </c>
    </row>
    <row r="18" spans="1:9" x14ac:dyDescent="0.25">
      <c r="A18">
        <v>20</v>
      </c>
      <c r="B18">
        <v>22.958965321908675</v>
      </c>
      <c r="D18">
        <f>MDETERM(F18:I21)</f>
        <v>-9.930600001314934E-5</v>
      </c>
      <c r="F18" s="354">
        <f t="array" ref="F18:I21">$A$4:$D$7-B18*$F$4:$I$7</f>
        <v>-11.353608179051523</v>
      </c>
      <c r="G18" s="355">
        <v>2.3696428571428569</v>
      </c>
      <c r="H18" s="355">
        <v>-6.4232142857142875</v>
      </c>
      <c r="I18" s="356">
        <v>-7.5517857142857139</v>
      </c>
    </row>
    <row r="19" spans="1:9" x14ac:dyDescent="0.25">
      <c r="F19" s="357">
        <v>2.3696428571428569</v>
      </c>
      <c r="G19" s="58">
        <v>-17.510751036194396</v>
      </c>
      <c r="H19" s="58">
        <v>-3.9303571428571402</v>
      </c>
      <c r="I19" s="373">
        <v>-3.8875000000000028</v>
      </c>
    </row>
    <row r="20" spans="1:9" x14ac:dyDescent="0.25">
      <c r="F20" s="357">
        <v>-6.4232142857142875</v>
      </c>
      <c r="G20" s="58">
        <v>-3.9303571428571402</v>
      </c>
      <c r="H20" s="58">
        <v>-17.725036750480104</v>
      </c>
      <c r="I20" s="373">
        <v>5.1196428571428534</v>
      </c>
    </row>
    <row r="21" spans="1:9" x14ac:dyDescent="0.25">
      <c r="F21" s="375">
        <v>-7.5517857142857139</v>
      </c>
      <c r="G21" s="360">
        <v>-3.8875000000000028</v>
      </c>
      <c r="H21" s="360">
        <v>5.1196428571428534</v>
      </c>
      <c r="I21" s="374">
        <v>-16.639322464765822</v>
      </c>
    </row>
    <row r="23" spans="1:9" x14ac:dyDescent="0.25">
      <c r="A23" t="s">
        <v>786</v>
      </c>
      <c r="B23" t="s">
        <v>787</v>
      </c>
      <c r="D23" t="s">
        <v>788</v>
      </c>
      <c r="F23" t="s">
        <v>789</v>
      </c>
    </row>
    <row r="25" spans="1:9" x14ac:dyDescent="0.25">
      <c r="A25">
        <v>0</v>
      </c>
      <c r="B25">
        <v>0</v>
      </c>
      <c r="D25">
        <f>MDETERM(F25:I28)</f>
        <v>-2.1303559823245579E-13</v>
      </c>
      <c r="F25" s="354">
        <f t="array" ref="F25:I28">$A$4:$D$7-B25*$F$4:$I$7</f>
        <v>11.605357142857152</v>
      </c>
      <c r="G25" s="355">
        <v>2.3696428571428569</v>
      </c>
      <c r="H25" s="355">
        <v>-6.4232142857142875</v>
      </c>
      <c r="I25" s="356">
        <v>-7.5517857142857139</v>
      </c>
    </row>
    <row r="26" spans="1:9" x14ac:dyDescent="0.25">
      <c r="F26" s="357">
        <v>2.3696428571428569</v>
      </c>
      <c r="G26" s="58">
        <v>5.448214285714279</v>
      </c>
      <c r="H26" s="58">
        <v>-3.9303571428571402</v>
      </c>
      <c r="I26" s="373">
        <v>-3.8875000000000028</v>
      </c>
    </row>
    <row r="27" spans="1:9" x14ac:dyDescent="0.25">
      <c r="F27" s="357">
        <v>-6.4232142857142875</v>
      </c>
      <c r="G27" s="58">
        <v>-3.9303571428571402</v>
      </c>
      <c r="H27" s="58">
        <v>5.2339285714285708</v>
      </c>
      <c r="I27" s="373">
        <v>5.1196428571428534</v>
      </c>
    </row>
    <row r="28" spans="1:9" x14ac:dyDescent="0.25">
      <c r="F28" s="375">
        <v>-7.5517857142857139</v>
      </c>
      <c r="G28" s="360">
        <v>-3.8875000000000028</v>
      </c>
      <c r="H28" s="360">
        <v>5.1196428571428534</v>
      </c>
      <c r="I28" s="374">
        <v>6.3196428571428527</v>
      </c>
    </row>
    <row r="30" spans="1:9" x14ac:dyDescent="0.25">
      <c r="A30" t="s">
        <v>786</v>
      </c>
      <c r="B30" t="s">
        <v>787</v>
      </c>
      <c r="D30" t="s">
        <v>788</v>
      </c>
      <c r="F30" t="s">
        <v>789</v>
      </c>
    </row>
    <row r="32" spans="1:9" x14ac:dyDescent="0.25">
      <c r="A32">
        <v>1</v>
      </c>
      <c r="B32">
        <v>0.59013194983161432</v>
      </c>
      <c r="D32">
        <f>MDETERM(F32:I35)</f>
        <v>2.3548672431741652E-5</v>
      </c>
      <c r="F32" s="354">
        <f t="array" ref="F32:I35">$A$4:$D$7-B32*$F$4:$I$7</f>
        <v>11.015225193025538</v>
      </c>
      <c r="G32" s="355">
        <v>2.3696428571428569</v>
      </c>
      <c r="H32" s="355">
        <v>-6.4232142857142875</v>
      </c>
      <c r="I32" s="356">
        <v>-7.5517857142857139</v>
      </c>
    </row>
    <row r="33" spans="6:9" x14ac:dyDescent="0.25">
      <c r="F33" s="357">
        <v>2.3696428571428569</v>
      </c>
      <c r="G33" s="58">
        <v>4.8580823358826644</v>
      </c>
      <c r="H33" s="58">
        <v>-3.9303571428571402</v>
      </c>
      <c r="I33" s="373">
        <v>-3.8875000000000028</v>
      </c>
    </row>
    <row r="34" spans="6:9" x14ac:dyDescent="0.25">
      <c r="F34" s="357">
        <v>-6.4232142857142875</v>
      </c>
      <c r="G34" s="58">
        <v>-3.9303571428571402</v>
      </c>
      <c r="H34" s="58">
        <v>4.6437966215969562</v>
      </c>
      <c r="I34" s="373">
        <v>5.1196428571428534</v>
      </c>
    </row>
    <row r="35" spans="6:9" x14ac:dyDescent="0.25">
      <c r="F35" s="375">
        <v>-7.5517857142857139</v>
      </c>
      <c r="G35" s="360">
        <v>-3.8875000000000028</v>
      </c>
      <c r="H35" s="360">
        <v>5.1196428571428534</v>
      </c>
      <c r="I35" s="374">
        <v>5.729510907311238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F25"/>
  <sheetViews>
    <sheetView workbookViewId="0">
      <selection activeCell="K21" sqref="K21"/>
    </sheetView>
  </sheetViews>
  <sheetFormatPr defaultRowHeight="15" x14ac:dyDescent="0.25"/>
  <sheetData>
    <row r="1" spans="1:6" x14ac:dyDescent="0.25">
      <c r="C1" s="341" t="s">
        <v>687</v>
      </c>
      <c r="D1" s="341" t="s">
        <v>688</v>
      </c>
      <c r="E1" s="341" t="s">
        <v>689</v>
      </c>
      <c r="F1" s="341" t="s">
        <v>690</v>
      </c>
    </row>
    <row r="2" spans="1:6" x14ac:dyDescent="0.25">
      <c r="A2">
        <v>1</v>
      </c>
      <c r="B2" t="s">
        <v>691</v>
      </c>
      <c r="C2">
        <v>255</v>
      </c>
      <c r="D2">
        <v>255</v>
      </c>
      <c r="E2">
        <v>255</v>
      </c>
      <c r="F2">
        <f t="shared" ref="F2:F25" si="0">C2+D2*256+E2*256^2</f>
        <v>16777215</v>
      </c>
    </row>
    <row r="3" spans="1:6" x14ac:dyDescent="0.25">
      <c r="A3">
        <f>A2+1</f>
        <v>2</v>
      </c>
      <c r="B3" t="s">
        <v>692</v>
      </c>
      <c r="C3">
        <v>0</v>
      </c>
      <c r="D3">
        <v>0</v>
      </c>
      <c r="E3">
        <v>0</v>
      </c>
      <c r="F3">
        <f>C3+D3*256+E3*256^2</f>
        <v>0</v>
      </c>
    </row>
    <row r="4" spans="1:6" x14ac:dyDescent="0.25">
      <c r="A4">
        <f t="shared" ref="A4:A21" si="1">A3+1</f>
        <v>3</v>
      </c>
      <c r="B4" t="s">
        <v>687</v>
      </c>
      <c r="C4">
        <v>255</v>
      </c>
      <c r="D4">
        <v>0</v>
      </c>
      <c r="E4">
        <v>0</v>
      </c>
      <c r="F4">
        <f t="shared" si="0"/>
        <v>255</v>
      </c>
    </row>
    <row r="5" spans="1:6" x14ac:dyDescent="0.25">
      <c r="A5">
        <f t="shared" si="1"/>
        <v>4</v>
      </c>
      <c r="B5" t="s">
        <v>688</v>
      </c>
      <c r="C5">
        <v>0</v>
      </c>
      <c r="D5">
        <v>128</v>
      </c>
      <c r="E5">
        <v>0</v>
      </c>
      <c r="F5">
        <f t="shared" si="0"/>
        <v>32768</v>
      </c>
    </row>
    <row r="6" spans="1:6" x14ac:dyDescent="0.25">
      <c r="A6">
        <f t="shared" si="1"/>
        <v>5</v>
      </c>
      <c r="B6" t="s">
        <v>689</v>
      </c>
      <c r="C6">
        <v>0</v>
      </c>
      <c r="D6">
        <v>0</v>
      </c>
      <c r="E6">
        <v>255</v>
      </c>
      <c r="F6">
        <f t="shared" si="0"/>
        <v>16711680</v>
      </c>
    </row>
    <row r="7" spans="1:6" x14ac:dyDescent="0.25">
      <c r="A7">
        <f t="shared" si="1"/>
        <v>6</v>
      </c>
      <c r="B7" t="s">
        <v>693</v>
      </c>
      <c r="C7">
        <v>255</v>
      </c>
      <c r="D7">
        <v>255</v>
      </c>
      <c r="F7">
        <f t="shared" si="0"/>
        <v>65535</v>
      </c>
    </row>
    <row r="8" spans="1:6" x14ac:dyDescent="0.25">
      <c r="A8">
        <f t="shared" si="1"/>
        <v>7</v>
      </c>
      <c r="B8" t="s">
        <v>694</v>
      </c>
      <c r="C8">
        <v>128</v>
      </c>
      <c r="E8">
        <v>128</v>
      </c>
      <c r="F8">
        <f t="shared" si="0"/>
        <v>8388736</v>
      </c>
    </row>
    <row r="9" spans="1:6" x14ac:dyDescent="0.25">
      <c r="A9">
        <f t="shared" si="1"/>
        <v>8</v>
      </c>
      <c r="B9" t="s">
        <v>695</v>
      </c>
      <c r="C9">
        <v>255</v>
      </c>
      <c r="D9">
        <v>165</v>
      </c>
      <c r="F9">
        <f t="shared" si="0"/>
        <v>42495</v>
      </c>
    </row>
    <row r="10" spans="1:6" x14ac:dyDescent="0.25">
      <c r="A10">
        <f t="shared" si="1"/>
        <v>9</v>
      </c>
      <c r="B10" t="s">
        <v>696</v>
      </c>
      <c r="C10">
        <v>128</v>
      </c>
      <c r="D10">
        <v>128</v>
      </c>
      <c r="E10">
        <v>128</v>
      </c>
      <c r="F10">
        <f t="shared" si="0"/>
        <v>8421504</v>
      </c>
    </row>
    <row r="11" spans="1:6" x14ac:dyDescent="0.25">
      <c r="A11">
        <f t="shared" si="1"/>
        <v>10</v>
      </c>
      <c r="B11" t="s">
        <v>697</v>
      </c>
      <c r="D11">
        <v>255</v>
      </c>
      <c r="E11">
        <v>255</v>
      </c>
      <c r="F11">
        <f t="shared" si="0"/>
        <v>16776960</v>
      </c>
    </row>
    <row r="12" spans="1:6" x14ac:dyDescent="0.25">
      <c r="A12">
        <f t="shared" si="1"/>
        <v>11</v>
      </c>
      <c r="B12" t="s">
        <v>698</v>
      </c>
      <c r="E12">
        <v>128</v>
      </c>
      <c r="F12">
        <f t="shared" si="0"/>
        <v>8388608</v>
      </c>
    </row>
    <row r="13" spans="1:6" x14ac:dyDescent="0.25">
      <c r="A13">
        <f t="shared" si="1"/>
        <v>12</v>
      </c>
      <c r="B13" t="s">
        <v>699</v>
      </c>
      <c r="C13">
        <v>128</v>
      </c>
      <c r="D13">
        <v>128</v>
      </c>
      <c r="F13">
        <f t="shared" si="0"/>
        <v>32896</v>
      </c>
    </row>
    <row r="14" spans="1:6" x14ac:dyDescent="0.25">
      <c r="A14">
        <f t="shared" si="1"/>
        <v>13</v>
      </c>
      <c r="B14" t="s">
        <v>700</v>
      </c>
      <c r="C14">
        <v>255</v>
      </c>
      <c r="D14">
        <v>192</v>
      </c>
      <c r="E14">
        <v>203</v>
      </c>
      <c r="F14">
        <f t="shared" si="0"/>
        <v>13353215</v>
      </c>
    </row>
    <row r="15" spans="1:6" x14ac:dyDescent="0.25">
      <c r="A15">
        <f t="shared" si="1"/>
        <v>14</v>
      </c>
      <c r="B15" t="s">
        <v>701</v>
      </c>
      <c r="C15">
        <v>192</v>
      </c>
      <c r="D15">
        <v>192</v>
      </c>
      <c r="E15">
        <v>192</v>
      </c>
      <c r="F15">
        <f t="shared" si="0"/>
        <v>12632256</v>
      </c>
    </row>
    <row r="16" spans="1:6" x14ac:dyDescent="0.25">
      <c r="A16">
        <f t="shared" si="1"/>
        <v>15</v>
      </c>
      <c r="B16" t="s">
        <v>702</v>
      </c>
      <c r="C16">
        <v>139</v>
      </c>
      <c r="D16">
        <v>69</v>
      </c>
      <c r="E16">
        <v>19</v>
      </c>
      <c r="F16">
        <f t="shared" si="0"/>
        <v>1262987</v>
      </c>
    </row>
    <row r="17" spans="1:6" x14ac:dyDescent="0.25">
      <c r="A17">
        <f t="shared" si="1"/>
        <v>16</v>
      </c>
      <c r="B17" t="s">
        <v>703</v>
      </c>
      <c r="D17">
        <v>255</v>
      </c>
      <c r="F17">
        <f t="shared" si="0"/>
        <v>65280</v>
      </c>
    </row>
    <row r="18" spans="1:6" x14ac:dyDescent="0.25">
      <c r="A18">
        <f t="shared" si="1"/>
        <v>17</v>
      </c>
      <c r="B18" t="s">
        <v>704</v>
      </c>
      <c r="C18">
        <v>255</v>
      </c>
      <c r="E18">
        <v>255</v>
      </c>
      <c r="F18">
        <f t="shared" si="0"/>
        <v>16711935</v>
      </c>
    </row>
    <row r="19" spans="1:6" x14ac:dyDescent="0.25">
      <c r="A19">
        <f t="shared" si="1"/>
        <v>18</v>
      </c>
      <c r="B19" t="s">
        <v>705</v>
      </c>
      <c r="C19">
        <v>128</v>
      </c>
      <c r="F19">
        <f t="shared" si="0"/>
        <v>128</v>
      </c>
    </row>
    <row r="20" spans="1:6" x14ac:dyDescent="0.25">
      <c r="A20">
        <f t="shared" si="1"/>
        <v>19</v>
      </c>
      <c r="B20" t="s">
        <v>706</v>
      </c>
      <c r="C20">
        <v>250</v>
      </c>
      <c r="D20">
        <v>128</v>
      </c>
      <c r="E20">
        <v>114</v>
      </c>
      <c r="F20">
        <f t="shared" si="0"/>
        <v>7504122</v>
      </c>
    </row>
    <row r="21" spans="1:6" x14ac:dyDescent="0.25">
      <c r="A21">
        <f t="shared" si="1"/>
        <v>20</v>
      </c>
      <c r="B21" t="s">
        <v>707</v>
      </c>
      <c r="C21">
        <v>64</v>
      </c>
      <c r="D21">
        <v>224</v>
      </c>
      <c r="E21">
        <v>208</v>
      </c>
      <c r="F21">
        <f t="shared" si="0"/>
        <v>13688896</v>
      </c>
    </row>
    <row r="22" spans="1:6" x14ac:dyDescent="0.25">
      <c r="A22">
        <v>21</v>
      </c>
      <c r="B22" t="s">
        <v>708</v>
      </c>
      <c r="D22">
        <v>128</v>
      </c>
      <c r="E22">
        <v>128</v>
      </c>
      <c r="F22">
        <f t="shared" si="0"/>
        <v>8421376</v>
      </c>
    </row>
    <row r="23" spans="1:6" x14ac:dyDescent="0.25">
      <c r="A23">
        <v>22</v>
      </c>
      <c r="B23" t="s">
        <v>709</v>
      </c>
      <c r="C23">
        <v>210</v>
      </c>
      <c r="D23">
        <v>180</v>
      </c>
      <c r="E23">
        <v>140</v>
      </c>
      <c r="F23">
        <f t="shared" si="0"/>
        <v>9221330</v>
      </c>
    </row>
    <row r="24" spans="1:6" x14ac:dyDescent="0.25">
      <c r="A24">
        <v>23</v>
      </c>
      <c r="B24" t="s">
        <v>710</v>
      </c>
      <c r="C24">
        <v>255</v>
      </c>
      <c r="D24">
        <v>215</v>
      </c>
      <c r="F24">
        <f t="shared" si="0"/>
        <v>55295</v>
      </c>
    </row>
    <row r="25" spans="1:6" x14ac:dyDescent="0.25">
      <c r="A25">
        <v>24</v>
      </c>
      <c r="B25" s="334" t="s">
        <v>711</v>
      </c>
      <c r="C25" s="334">
        <v>245</v>
      </c>
      <c r="D25" s="334">
        <v>245</v>
      </c>
      <c r="E25" s="334">
        <v>220</v>
      </c>
      <c r="F25" s="334">
        <f t="shared" si="0"/>
        <v>14480885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K21"/>
  <sheetViews>
    <sheetView workbookViewId="0">
      <selection activeCell="K21" sqref="K21"/>
    </sheetView>
  </sheetViews>
  <sheetFormatPr defaultRowHeight="15" x14ac:dyDescent="0.25"/>
  <cols>
    <col min="2" max="2" width="5.28515625" customWidth="1"/>
    <col min="4" max="4" width="3.28515625" customWidth="1"/>
    <col min="5" max="5" width="20.28515625" customWidth="1"/>
    <col min="8" max="8" width="5.28515625" customWidth="1"/>
    <col min="10" max="10" width="3.7109375" customWidth="1"/>
    <col min="11" max="11" width="17.140625" customWidth="1"/>
  </cols>
  <sheetData>
    <row r="1" spans="1:11" x14ac:dyDescent="0.25">
      <c r="A1" s="1" t="s">
        <v>712</v>
      </c>
    </row>
    <row r="3" spans="1:11" x14ac:dyDescent="0.25">
      <c r="A3" s="342"/>
      <c r="C3" s="343" t="e">
        <f ca="1">FillRGB(A3)</f>
        <v>#NAME?</v>
      </c>
      <c r="E3" t="e">
        <f ca="1">FTEXT(C3)</f>
        <v>#NAME?</v>
      </c>
      <c r="G3" s="1">
        <v>34</v>
      </c>
      <c r="I3" s="343" t="e">
        <f ca="1">IsBold(G3)</f>
        <v>#NAME?</v>
      </c>
      <c r="K3" t="e">
        <f ca="1">FTEXT(I3)</f>
        <v>#NAME?</v>
      </c>
    </row>
    <row r="4" spans="1:11" x14ac:dyDescent="0.25">
      <c r="C4" s="91" t="e">
        <f ca="1">RedRGB(C3)</f>
        <v>#NAME?</v>
      </c>
      <c r="E4" t="e">
        <f ca="1">FTEXT(C4)</f>
        <v>#NAME?</v>
      </c>
      <c r="G4">
        <v>56</v>
      </c>
      <c r="I4" s="91" t="e">
        <f ca="1">IsBold(G4)</f>
        <v>#NAME?</v>
      </c>
      <c r="K4" t="e">
        <f ca="1">FTEXT(I4)</f>
        <v>#NAME?</v>
      </c>
    </row>
    <row r="5" spans="1:11" x14ac:dyDescent="0.25">
      <c r="C5" s="91" t="e">
        <f ca="1">GreenRGB(C3)</f>
        <v>#NAME?</v>
      </c>
      <c r="E5" t="e">
        <f ca="1">FTEXT(C5)</f>
        <v>#NAME?</v>
      </c>
      <c r="I5" s="91" t="e">
        <f ca="1">IsBold(G3:G4)</f>
        <v>#NAME?</v>
      </c>
      <c r="K5" t="e">
        <f ca="1">FTEXT(I5)</f>
        <v>#NAME?</v>
      </c>
    </row>
    <row r="6" spans="1:11" x14ac:dyDescent="0.25">
      <c r="C6" s="91" t="e">
        <f ca="1">BlueRGB(C3)</f>
        <v>#NAME?</v>
      </c>
      <c r="E6" t="e">
        <f ca="1">FTEXT(C6)</f>
        <v>#NAME?</v>
      </c>
      <c r="I6" s="85" t="e">
        <f ca="1">IsBold(G5:G6)</f>
        <v>#NAME?</v>
      </c>
      <c r="K6" t="e">
        <f ca="1">FTEXT(I6)</f>
        <v>#NAME?</v>
      </c>
    </row>
    <row r="7" spans="1:11" x14ac:dyDescent="0.25">
      <c r="C7" s="344" t="e">
        <f ca="1">FillColor(A3)</f>
        <v>#NAME?</v>
      </c>
      <c r="E7" t="e">
        <f ca="1">FTEXT(C7)</f>
        <v>#NAME?</v>
      </c>
    </row>
    <row r="8" spans="1:11" x14ac:dyDescent="0.25">
      <c r="I8" s="345" t="e">
        <f ca="1">FillColor(G7:G8)</f>
        <v>#NAME?</v>
      </c>
      <c r="K8" t="e">
        <f ca="1">FTEXT(I8)</f>
        <v>#NAME?</v>
      </c>
    </row>
    <row r="9" spans="1:11" x14ac:dyDescent="0.25">
      <c r="A9" s="346"/>
      <c r="C9" s="343" t="e">
        <f ca="1">FillRGB(A9)</f>
        <v>#NAME?</v>
      </c>
      <c r="E9" t="e">
        <f ca="1">FTEXT(C9)</f>
        <v>#NAME?</v>
      </c>
      <c r="I9" s="347" t="e">
        <f ca="1">FontColor(G3:G4)</f>
        <v>#NAME?</v>
      </c>
      <c r="K9" t="e">
        <f ca="1">FTEXT(I9)</f>
        <v>#NAME?</v>
      </c>
    </row>
    <row r="10" spans="1:11" x14ac:dyDescent="0.25">
      <c r="C10" s="91" t="e">
        <f ca="1">RedRGB(C9)</f>
        <v>#NAME?</v>
      </c>
      <c r="E10" t="e">
        <f ca="1">FTEXT(C10)</f>
        <v>#NAME?</v>
      </c>
      <c r="I10" s="344" t="e">
        <f ca="1">FillColor(A3:A4)</f>
        <v>#NAME?</v>
      </c>
      <c r="K10" t="e">
        <f ca="1">FTEXT(I10)</f>
        <v>#NAME?</v>
      </c>
    </row>
    <row r="11" spans="1:11" x14ac:dyDescent="0.25">
      <c r="C11" s="91" t="e">
        <f ca="1">GreenRGB(C9)</f>
        <v>#NAME?</v>
      </c>
      <c r="E11" t="e">
        <f ca="1">FTEXT(C11)</f>
        <v>#NAME?</v>
      </c>
    </row>
    <row r="12" spans="1:11" x14ac:dyDescent="0.25">
      <c r="C12" s="91" t="e">
        <f ca="1">BlueRGB(C9)</f>
        <v>#NAME?</v>
      </c>
      <c r="E12" t="e">
        <f ca="1">FTEXT(C12)</f>
        <v>#NAME?</v>
      </c>
    </row>
    <row r="13" spans="1:11" x14ac:dyDescent="0.25">
      <c r="C13" s="347" t="e">
        <f ca="1">FillColor(A9)</f>
        <v>#NAME?</v>
      </c>
      <c r="E13" t="e">
        <f ca="1">FTEXT(C13)</f>
        <v>#NAME?</v>
      </c>
    </row>
    <row r="14" spans="1:11" x14ac:dyDescent="0.25">
      <c r="C14" s="344" t="e">
        <f ca="1">FillColor(A9,TRUE)</f>
        <v>#NAME?</v>
      </c>
      <c r="E14" t="e">
        <f ca="1">FTEXT(C14)</f>
        <v>#NAME?</v>
      </c>
    </row>
    <row r="16" spans="1:11" x14ac:dyDescent="0.25">
      <c r="A16" s="348"/>
      <c r="C16" s="105" t="e">
        <f ca="1">RGBCode("cyan")</f>
        <v>#NAME?</v>
      </c>
      <c r="E16" t="e">
        <f ca="1">FTEXT(C16)</f>
        <v>#NAME?</v>
      </c>
    </row>
    <row r="18" spans="1:5" x14ac:dyDescent="0.25">
      <c r="A18" s="349" t="s">
        <v>687</v>
      </c>
      <c r="C18" s="345" t="e">
        <f ca="1">FontColor(A18)</f>
        <v>#NAME?</v>
      </c>
      <c r="E18" t="e">
        <f ca="1">FTEXT(C18)</f>
        <v>#NAME?</v>
      </c>
    </row>
    <row r="19" spans="1:5" x14ac:dyDescent="0.25">
      <c r="A19" s="350" t="s">
        <v>688</v>
      </c>
      <c r="C19" s="347" t="e">
        <f ca="1">FontColor(A19)</f>
        <v>#NAME?</v>
      </c>
      <c r="E19" t="e">
        <f ca="1">FTEXT(C19)</f>
        <v>#NAME?</v>
      </c>
    </row>
    <row r="20" spans="1:5" x14ac:dyDescent="0.25">
      <c r="A20" s="350"/>
      <c r="C20" s="347" t="e">
        <f ca="1">FontColor(A19,TRUE)</f>
        <v>#NAME?</v>
      </c>
      <c r="E20" t="e">
        <f ca="1">FTEXT(C20)</f>
        <v>#NAME?</v>
      </c>
    </row>
    <row r="21" spans="1:5" x14ac:dyDescent="0.25">
      <c r="C21" s="85" t="e">
        <f ca="1">FontRGB(A19)</f>
        <v>#NAME?</v>
      </c>
      <c r="E21" t="e">
        <f ca="1">FTEXT(C21)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H102"/>
  <sheetViews>
    <sheetView workbookViewId="0"/>
  </sheetViews>
  <sheetFormatPr defaultRowHeight="15" x14ac:dyDescent="0.25"/>
  <cols>
    <col min="1" max="2" width="5" customWidth="1"/>
    <col min="3" max="3" width="2.7109375" customWidth="1"/>
    <col min="4" max="4" width="12.28515625" customWidth="1"/>
    <col min="5" max="5" width="3.5703125" customWidth="1"/>
    <col min="7" max="7" width="2.7109375" customWidth="1"/>
    <col min="8" max="8" width="17.85546875" customWidth="1"/>
  </cols>
  <sheetData>
    <row r="1" spans="1:8" x14ac:dyDescent="0.25">
      <c r="A1" s="1" t="s">
        <v>835</v>
      </c>
    </row>
    <row r="3" spans="1:8" x14ac:dyDescent="0.25">
      <c r="A3">
        <v>1</v>
      </c>
      <c r="B3" t="e">
        <f t="array" aca="1" ref="B3:B102" ca="1">PrimeList()</f>
        <v>#NAME?</v>
      </c>
      <c r="D3" t="e">
        <f ca="1">FTEXT(B3)</f>
        <v>#NAME?</v>
      </c>
      <c r="F3" t="e">
        <f ca="1">NthPrime(50)</f>
        <v>#NAME?</v>
      </c>
      <c r="H3" t="e">
        <f ca="1">FTEXT(F3)</f>
        <v>#NAME?</v>
      </c>
    </row>
    <row r="4" spans="1:8" x14ac:dyDescent="0.25">
      <c r="A4">
        <f>A3+1</f>
        <v>2</v>
      </c>
      <c r="B4" t="e">
        <f ca="1"/>
        <v>#NAME?</v>
      </c>
    </row>
    <row r="5" spans="1:8" x14ac:dyDescent="0.25">
      <c r="A5">
        <f t="shared" ref="A5:A68" si="0">A4+1</f>
        <v>3</v>
      </c>
      <c r="B5" t="e">
        <f ca="1"/>
        <v>#NAME?</v>
      </c>
      <c r="F5" t="e">
        <f ca="1">NextPrime(F3)</f>
        <v>#NAME?</v>
      </c>
      <c r="H5" t="e">
        <f ca="1">FTEXT(F5)</f>
        <v>#NAME?</v>
      </c>
    </row>
    <row r="6" spans="1:8" x14ac:dyDescent="0.25">
      <c r="A6">
        <f t="shared" si="0"/>
        <v>4</v>
      </c>
      <c r="B6" t="e">
        <f ca="1"/>
        <v>#NAME?</v>
      </c>
      <c r="F6" t="e">
        <f ca="1">PriorPrime(F5)</f>
        <v>#NAME?</v>
      </c>
      <c r="H6" t="e">
        <f ca="1">FTEXT(F6)</f>
        <v>#NAME?</v>
      </c>
    </row>
    <row r="7" spans="1:8" x14ac:dyDescent="0.25">
      <c r="A7">
        <f t="shared" si="0"/>
        <v>5</v>
      </c>
      <c r="B7" t="e">
        <f ca="1"/>
        <v>#NAME?</v>
      </c>
    </row>
    <row r="8" spans="1:8" x14ac:dyDescent="0.25">
      <c r="A8">
        <f t="shared" si="0"/>
        <v>6</v>
      </c>
      <c r="B8" t="e">
        <f ca="1"/>
        <v>#NAME?</v>
      </c>
      <c r="F8">
        <v>2457</v>
      </c>
    </row>
    <row r="9" spans="1:8" x14ac:dyDescent="0.25">
      <c r="A9">
        <f t="shared" si="0"/>
        <v>7</v>
      </c>
      <c r="B9" t="e">
        <f ca="1"/>
        <v>#NAME?</v>
      </c>
    </row>
    <row r="10" spans="1:8" x14ac:dyDescent="0.25">
      <c r="A10">
        <f t="shared" si="0"/>
        <v>8</v>
      </c>
      <c r="B10" t="e">
        <f ca="1"/>
        <v>#NAME?</v>
      </c>
      <c r="F10" t="e">
        <f t="array" aca="1" ref="F10:F15" ca="1">Factors(F8)</f>
        <v>#NAME?</v>
      </c>
      <c r="H10" t="e">
        <f ca="1">FTEXT(F10)</f>
        <v>#NAME?</v>
      </c>
    </row>
    <row r="11" spans="1:8" x14ac:dyDescent="0.25">
      <c r="A11">
        <f t="shared" si="0"/>
        <v>9</v>
      </c>
      <c r="B11" t="e">
        <f ca="1"/>
        <v>#NAME?</v>
      </c>
      <c r="F11" t="e">
        <f ca="1"/>
        <v>#NAME?</v>
      </c>
    </row>
    <row r="12" spans="1:8" x14ac:dyDescent="0.25">
      <c r="A12">
        <f t="shared" si="0"/>
        <v>10</v>
      </c>
      <c r="B12" t="e">
        <f ca="1"/>
        <v>#NAME?</v>
      </c>
      <c r="F12" t="e">
        <f ca="1"/>
        <v>#NAME?</v>
      </c>
    </row>
    <row r="13" spans="1:8" x14ac:dyDescent="0.25">
      <c r="A13">
        <f t="shared" si="0"/>
        <v>11</v>
      </c>
      <c r="B13" t="e">
        <f ca="1"/>
        <v>#NAME?</v>
      </c>
      <c r="F13" t="e">
        <f ca="1"/>
        <v>#NAME?</v>
      </c>
    </row>
    <row r="14" spans="1:8" x14ac:dyDescent="0.25">
      <c r="A14">
        <f t="shared" si="0"/>
        <v>12</v>
      </c>
      <c r="B14" t="e">
        <f ca="1"/>
        <v>#NAME?</v>
      </c>
      <c r="F14" t="e">
        <f ca="1"/>
        <v>#NAME?</v>
      </c>
    </row>
    <row r="15" spans="1:8" x14ac:dyDescent="0.25">
      <c r="A15">
        <f t="shared" si="0"/>
        <v>13</v>
      </c>
      <c r="B15" t="e">
        <f ca="1"/>
        <v>#NAME?</v>
      </c>
      <c r="F15" t="e">
        <f ca="1"/>
        <v>#NAME?</v>
      </c>
    </row>
    <row r="16" spans="1:8" x14ac:dyDescent="0.25">
      <c r="A16">
        <f t="shared" si="0"/>
        <v>14</v>
      </c>
      <c r="B16" t="e">
        <f ca="1"/>
        <v>#NAME?</v>
      </c>
    </row>
    <row r="17" spans="1:8" x14ac:dyDescent="0.25">
      <c r="A17">
        <f t="shared" si="0"/>
        <v>15</v>
      </c>
      <c r="B17" t="e">
        <f ca="1"/>
        <v>#NAME?</v>
      </c>
      <c r="F17" t="e">
        <f ca="1">PrimeCount(50,2)</f>
        <v>#NAME?</v>
      </c>
      <c r="H17" t="e">
        <f ca="1">FTEXT(F17)</f>
        <v>#NAME?</v>
      </c>
    </row>
    <row r="18" spans="1:8" x14ac:dyDescent="0.25">
      <c r="A18">
        <f t="shared" si="0"/>
        <v>16</v>
      </c>
      <c r="B18" t="e">
        <f ca="1"/>
        <v>#NAME?</v>
      </c>
    </row>
    <row r="19" spans="1:8" x14ac:dyDescent="0.25">
      <c r="A19">
        <f t="shared" si="0"/>
        <v>17</v>
      </c>
      <c r="B19" t="e">
        <f ca="1"/>
        <v>#NAME?</v>
      </c>
      <c r="F19" t="e">
        <f ca="1">IsPrime(F3)</f>
        <v>#NAME?</v>
      </c>
      <c r="H19" t="e">
        <f ca="1">FTEXT(F19)</f>
        <v>#NAME?</v>
      </c>
    </row>
    <row r="20" spans="1:8" x14ac:dyDescent="0.25">
      <c r="A20">
        <f t="shared" si="0"/>
        <v>18</v>
      </c>
      <c r="B20" t="e">
        <f ca="1"/>
        <v>#NAME?</v>
      </c>
      <c r="F20" t="e">
        <f ca="1">IsPrime(F8)</f>
        <v>#NAME?</v>
      </c>
      <c r="H20" t="e">
        <f ca="1">FTEXT(F20)</f>
        <v>#NAME?</v>
      </c>
    </row>
    <row r="21" spans="1:8" x14ac:dyDescent="0.25">
      <c r="A21">
        <f t="shared" si="0"/>
        <v>19</v>
      </c>
      <c r="B21" t="e">
        <f ca="1"/>
        <v>#NAME?</v>
      </c>
    </row>
    <row r="22" spans="1:8" x14ac:dyDescent="0.25">
      <c r="A22">
        <f t="shared" si="0"/>
        <v>20</v>
      </c>
      <c r="B22" t="e">
        <f ca="1"/>
        <v>#NAME?</v>
      </c>
    </row>
    <row r="23" spans="1:8" x14ac:dyDescent="0.25">
      <c r="A23">
        <f t="shared" si="0"/>
        <v>21</v>
      </c>
      <c r="B23" t="e">
        <f ca="1"/>
        <v>#NAME?</v>
      </c>
    </row>
    <row r="24" spans="1:8" x14ac:dyDescent="0.25">
      <c r="A24">
        <f t="shared" si="0"/>
        <v>22</v>
      </c>
      <c r="B24" t="e">
        <f ca="1"/>
        <v>#NAME?</v>
      </c>
    </row>
    <row r="25" spans="1:8" x14ac:dyDescent="0.25">
      <c r="A25">
        <f t="shared" si="0"/>
        <v>23</v>
      </c>
      <c r="B25" t="e">
        <f ca="1"/>
        <v>#NAME?</v>
      </c>
    </row>
    <row r="26" spans="1:8" x14ac:dyDescent="0.25">
      <c r="A26">
        <f t="shared" si="0"/>
        <v>24</v>
      </c>
      <c r="B26" t="e">
        <f ca="1"/>
        <v>#NAME?</v>
      </c>
    </row>
    <row r="27" spans="1:8" x14ac:dyDescent="0.25">
      <c r="A27">
        <f t="shared" si="0"/>
        <v>25</v>
      </c>
      <c r="B27" t="e">
        <f ca="1"/>
        <v>#NAME?</v>
      </c>
    </row>
    <row r="28" spans="1:8" x14ac:dyDescent="0.25">
      <c r="A28">
        <f t="shared" si="0"/>
        <v>26</v>
      </c>
      <c r="B28" t="e">
        <f ca="1"/>
        <v>#NAME?</v>
      </c>
    </row>
    <row r="29" spans="1:8" x14ac:dyDescent="0.25">
      <c r="A29">
        <f t="shared" si="0"/>
        <v>27</v>
      </c>
      <c r="B29" t="e">
        <f ca="1"/>
        <v>#NAME?</v>
      </c>
    </row>
    <row r="30" spans="1:8" x14ac:dyDescent="0.25">
      <c r="A30">
        <f t="shared" si="0"/>
        <v>28</v>
      </c>
      <c r="B30" t="e">
        <f ca="1"/>
        <v>#NAME?</v>
      </c>
    </row>
    <row r="31" spans="1:8" x14ac:dyDescent="0.25">
      <c r="A31">
        <f t="shared" si="0"/>
        <v>29</v>
      </c>
      <c r="B31" t="e">
        <f ca="1"/>
        <v>#NAME?</v>
      </c>
    </row>
    <row r="32" spans="1:8" x14ac:dyDescent="0.25">
      <c r="A32">
        <f t="shared" si="0"/>
        <v>30</v>
      </c>
      <c r="B32" t="e">
        <f ca="1"/>
        <v>#NAME?</v>
      </c>
    </row>
    <row r="33" spans="1:2" x14ac:dyDescent="0.25">
      <c r="A33">
        <f t="shared" si="0"/>
        <v>31</v>
      </c>
      <c r="B33" t="e">
        <f ca="1"/>
        <v>#NAME?</v>
      </c>
    </row>
    <row r="34" spans="1:2" x14ac:dyDescent="0.25">
      <c r="A34">
        <f t="shared" si="0"/>
        <v>32</v>
      </c>
      <c r="B34" t="e">
        <f ca="1"/>
        <v>#NAME?</v>
      </c>
    </row>
    <row r="35" spans="1:2" x14ac:dyDescent="0.25">
      <c r="A35">
        <f t="shared" si="0"/>
        <v>33</v>
      </c>
      <c r="B35" t="e">
        <f ca="1"/>
        <v>#NAME?</v>
      </c>
    </row>
    <row r="36" spans="1:2" x14ac:dyDescent="0.25">
      <c r="A36">
        <f t="shared" si="0"/>
        <v>34</v>
      </c>
      <c r="B36" t="e">
        <f ca="1"/>
        <v>#NAME?</v>
      </c>
    </row>
    <row r="37" spans="1:2" x14ac:dyDescent="0.25">
      <c r="A37">
        <f t="shared" si="0"/>
        <v>35</v>
      </c>
      <c r="B37" t="e">
        <f ca="1"/>
        <v>#NAME?</v>
      </c>
    </row>
    <row r="38" spans="1:2" x14ac:dyDescent="0.25">
      <c r="A38">
        <f t="shared" si="0"/>
        <v>36</v>
      </c>
      <c r="B38" t="e">
        <f ca="1"/>
        <v>#NAME?</v>
      </c>
    </row>
    <row r="39" spans="1:2" x14ac:dyDescent="0.25">
      <c r="A39">
        <f t="shared" si="0"/>
        <v>37</v>
      </c>
      <c r="B39" t="e">
        <f ca="1"/>
        <v>#NAME?</v>
      </c>
    </row>
    <row r="40" spans="1:2" x14ac:dyDescent="0.25">
      <c r="A40">
        <f t="shared" si="0"/>
        <v>38</v>
      </c>
      <c r="B40" t="e">
        <f ca="1"/>
        <v>#NAME?</v>
      </c>
    </row>
    <row r="41" spans="1:2" x14ac:dyDescent="0.25">
      <c r="A41">
        <f t="shared" si="0"/>
        <v>39</v>
      </c>
      <c r="B41" t="e">
        <f ca="1"/>
        <v>#NAME?</v>
      </c>
    </row>
    <row r="42" spans="1:2" x14ac:dyDescent="0.25">
      <c r="A42">
        <f t="shared" si="0"/>
        <v>40</v>
      </c>
      <c r="B42" t="e">
        <f ca="1"/>
        <v>#NAME?</v>
      </c>
    </row>
    <row r="43" spans="1:2" x14ac:dyDescent="0.25">
      <c r="A43">
        <f t="shared" si="0"/>
        <v>41</v>
      </c>
      <c r="B43" t="e">
        <f ca="1"/>
        <v>#NAME?</v>
      </c>
    </row>
    <row r="44" spans="1:2" x14ac:dyDescent="0.25">
      <c r="A44">
        <f t="shared" si="0"/>
        <v>42</v>
      </c>
      <c r="B44" t="e">
        <f ca="1"/>
        <v>#NAME?</v>
      </c>
    </row>
    <row r="45" spans="1:2" x14ac:dyDescent="0.25">
      <c r="A45">
        <f t="shared" si="0"/>
        <v>43</v>
      </c>
      <c r="B45" t="e">
        <f ca="1"/>
        <v>#NAME?</v>
      </c>
    </row>
    <row r="46" spans="1:2" x14ac:dyDescent="0.25">
      <c r="A46">
        <f t="shared" si="0"/>
        <v>44</v>
      </c>
      <c r="B46" t="e">
        <f ca="1"/>
        <v>#NAME?</v>
      </c>
    </row>
    <row r="47" spans="1:2" x14ac:dyDescent="0.25">
      <c r="A47">
        <f t="shared" si="0"/>
        <v>45</v>
      </c>
      <c r="B47" t="e">
        <f ca="1"/>
        <v>#NAME?</v>
      </c>
    </row>
    <row r="48" spans="1:2" x14ac:dyDescent="0.25">
      <c r="A48">
        <f t="shared" si="0"/>
        <v>46</v>
      </c>
      <c r="B48" t="e">
        <f ca="1"/>
        <v>#NAME?</v>
      </c>
    </row>
    <row r="49" spans="1:2" x14ac:dyDescent="0.25">
      <c r="A49">
        <f t="shared" si="0"/>
        <v>47</v>
      </c>
      <c r="B49" t="e">
        <f ca="1"/>
        <v>#NAME?</v>
      </c>
    </row>
    <row r="50" spans="1:2" x14ac:dyDescent="0.25">
      <c r="A50">
        <f t="shared" si="0"/>
        <v>48</v>
      </c>
      <c r="B50" t="e">
        <f ca="1"/>
        <v>#NAME?</v>
      </c>
    </row>
    <row r="51" spans="1:2" x14ac:dyDescent="0.25">
      <c r="A51">
        <f t="shared" si="0"/>
        <v>49</v>
      </c>
      <c r="B51" t="e">
        <f ca="1"/>
        <v>#NAME?</v>
      </c>
    </row>
    <row r="52" spans="1:2" x14ac:dyDescent="0.25">
      <c r="A52">
        <f t="shared" si="0"/>
        <v>50</v>
      </c>
      <c r="B52" t="e">
        <f ca="1"/>
        <v>#NAME?</v>
      </c>
    </row>
    <row r="53" spans="1:2" x14ac:dyDescent="0.25">
      <c r="A53">
        <f t="shared" si="0"/>
        <v>51</v>
      </c>
      <c r="B53" t="e">
        <f ca="1"/>
        <v>#NAME?</v>
      </c>
    </row>
    <row r="54" spans="1:2" x14ac:dyDescent="0.25">
      <c r="A54">
        <f t="shared" si="0"/>
        <v>52</v>
      </c>
      <c r="B54" t="e">
        <f ca="1"/>
        <v>#NAME?</v>
      </c>
    </row>
    <row r="55" spans="1:2" x14ac:dyDescent="0.25">
      <c r="A55">
        <f t="shared" si="0"/>
        <v>53</v>
      </c>
      <c r="B55" t="e">
        <f ca="1"/>
        <v>#NAME?</v>
      </c>
    </row>
    <row r="56" spans="1:2" x14ac:dyDescent="0.25">
      <c r="A56">
        <f t="shared" si="0"/>
        <v>54</v>
      </c>
      <c r="B56" t="e">
        <f ca="1"/>
        <v>#NAME?</v>
      </c>
    </row>
    <row r="57" spans="1:2" x14ac:dyDescent="0.25">
      <c r="A57">
        <f t="shared" si="0"/>
        <v>55</v>
      </c>
      <c r="B57" t="e">
        <f ca="1"/>
        <v>#NAME?</v>
      </c>
    </row>
    <row r="58" spans="1:2" x14ac:dyDescent="0.25">
      <c r="A58">
        <f t="shared" si="0"/>
        <v>56</v>
      </c>
      <c r="B58" t="e">
        <f ca="1"/>
        <v>#NAME?</v>
      </c>
    </row>
    <row r="59" spans="1:2" x14ac:dyDescent="0.25">
      <c r="A59">
        <f t="shared" si="0"/>
        <v>57</v>
      </c>
      <c r="B59" t="e">
        <f ca="1"/>
        <v>#NAME?</v>
      </c>
    </row>
    <row r="60" spans="1:2" x14ac:dyDescent="0.25">
      <c r="A60">
        <f t="shared" si="0"/>
        <v>58</v>
      </c>
      <c r="B60" t="e">
        <f ca="1"/>
        <v>#NAME?</v>
      </c>
    </row>
    <row r="61" spans="1:2" x14ac:dyDescent="0.25">
      <c r="A61">
        <f t="shared" si="0"/>
        <v>59</v>
      </c>
      <c r="B61" t="e">
        <f ca="1"/>
        <v>#NAME?</v>
      </c>
    </row>
    <row r="62" spans="1:2" x14ac:dyDescent="0.25">
      <c r="A62">
        <f t="shared" si="0"/>
        <v>60</v>
      </c>
      <c r="B62" t="e">
        <f ca="1"/>
        <v>#NAME?</v>
      </c>
    </row>
    <row r="63" spans="1:2" x14ac:dyDescent="0.25">
      <c r="A63">
        <f t="shared" si="0"/>
        <v>61</v>
      </c>
      <c r="B63" t="e">
        <f ca="1"/>
        <v>#NAME?</v>
      </c>
    </row>
    <row r="64" spans="1:2" x14ac:dyDescent="0.25">
      <c r="A64">
        <f t="shared" si="0"/>
        <v>62</v>
      </c>
      <c r="B64" t="e">
        <f ca="1"/>
        <v>#NAME?</v>
      </c>
    </row>
    <row r="65" spans="1:2" x14ac:dyDescent="0.25">
      <c r="A65">
        <f t="shared" si="0"/>
        <v>63</v>
      </c>
      <c r="B65" t="e">
        <f ca="1"/>
        <v>#NAME?</v>
      </c>
    </row>
    <row r="66" spans="1:2" x14ac:dyDescent="0.25">
      <c r="A66">
        <f t="shared" si="0"/>
        <v>64</v>
      </c>
      <c r="B66" t="e">
        <f ca="1"/>
        <v>#NAME?</v>
      </c>
    </row>
    <row r="67" spans="1:2" x14ac:dyDescent="0.25">
      <c r="A67">
        <f t="shared" si="0"/>
        <v>65</v>
      </c>
      <c r="B67" t="e">
        <f ca="1"/>
        <v>#NAME?</v>
      </c>
    </row>
    <row r="68" spans="1:2" x14ac:dyDescent="0.25">
      <c r="A68">
        <f t="shared" si="0"/>
        <v>66</v>
      </c>
      <c r="B68" t="e">
        <f ca="1"/>
        <v>#NAME?</v>
      </c>
    </row>
    <row r="69" spans="1:2" x14ac:dyDescent="0.25">
      <c r="A69">
        <f t="shared" ref="A69:A102" si="1">A68+1</f>
        <v>67</v>
      </c>
      <c r="B69" t="e">
        <f ca="1"/>
        <v>#NAME?</v>
      </c>
    </row>
    <row r="70" spans="1:2" x14ac:dyDescent="0.25">
      <c r="A70">
        <f t="shared" si="1"/>
        <v>68</v>
      </c>
      <c r="B70" t="e">
        <f ca="1"/>
        <v>#NAME?</v>
      </c>
    </row>
    <row r="71" spans="1:2" x14ac:dyDescent="0.25">
      <c r="A71">
        <f t="shared" si="1"/>
        <v>69</v>
      </c>
      <c r="B71" t="e">
        <f ca="1"/>
        <v>#NAME?</v>
      </c>
    </row>
    <row r="72" spans="1:2" x14ac:dyDescent="0.25">
      <c r="A72">
        <f t="shared" si="1"/>
        <v>70</v>
      </c>
      <c r="B72" t="e">
        <f ca="1"/>
        <v>#NAME?</v>
      </c>
    </row>
    <row r="73" spans="1:2" x14ac:dyDescent="0.25">
      <c r="A73">
        <f t="shared" si="1"/>
        <v>71</v>
      </c>
      <c r="B73" t="e">
        <f ca="1"/>
        <v>#NAME?</v>
      </c>
    </row>
    <row r="74" spans="1:2" x14ac:dyDescent="0.25">
      <c r="A74">
        <f t="shared" si="1"/>
        <v>72</v>
      </c>
      <c r="B74" t="e">
        <f ca="1"/>
        <v>#NAME?</v>
      </c>
    </row>
    <row r="75" spans="1:2" x14ac:dyDescent="0.25">
      <c r="A75">
        <f t="shared" si="1"/>
        <v>73</v>
      </c>
      <c r="B75" t="e">
        <f ca="1"/>
        <v>#NAME?</v>
      </c>
    </row>
    <row r="76" spans="1:2" x14ac:dyDescent="0.25">
      <c r="A76">
        <f t="shared" si="1"/>
        <v>74</v>
      </c>
      <c r="B76" t="e">
        <f ca="1"/>
        <v>#NAME?</v>
      </c>
    </row>
    <row r="77" spans="1:2" x14ac:dyDescent="0.25">
      <c r="A77">
        <f t="shared" si="1"/>
        <v>75</v>
      </c>
      <c r="B77" t="e">
        <f ca="1"/>
        <v>#NAME?</v>
      </c>
    </row>
    <row r="78" spans="1:2" x14ac:dyDescent="0.25">
      <c r="A78">
        <f t="shared" si="1"/>
        <v>76</v>
      </c>
      <c r="B78" t="e">
        <f ca="1"/>
        <v>#NAME?</v>
      </c>
    </row>
    <row r="79" spans="1:2" x14ac:dyDescent="0.25">
      <c r="A79">
        <f t="shared" si="1"/>
        <v>77</v>
      </c>
      <c r="B79" t="e">
        <f ca="1"/>
        <v>#NAME?</v>
      </c>
    </row>
    <row r="80" spans="1:2" x14ac:dyDescent="0.25">
      <c r="A80">
        <f t="shared" si="1"/>
        <v>78</v>
      </c>
      <c r="B80" t="e">
        <f ca="1"/>
        <v>#NAME?</v>
      </c>
    </row>
    <row r="81" spans="1:2" x14ac:dyDescent="0.25">
      <c r="A81">
        <f t="shared" si="1"/>
        <v>79</v>
      </c>
      <c r="B81" t="e">
        <f ca="1"/>
        <v>#NAME?</v>
      </c>
    </row>
    <row r="82" spans="1:2" x14ac:dyDescent="0.25">
      <c r="A82">
        <f t="shared" si="1"/>
        <v>80</v>
      </c>
      <c r="B82" t="e">
        <f ca="1"/>
        <v>#NAME?</v>
      </c>
    </row>
    <row r="83" spans="1:2" x14ac:dyDescent="0.25">
      <c r="A83">
        <f t="shared" si="1"/>
        <v>81</v>
      </c>
      <c r="B83" t="e">
        <f ca="1"/>
        <v>#NAME?</v>
      </c>
    </row>
    <row r="84" spans="1:2" x14ac:dyDescent="0.25">
      <c r="A84">
        <f t="shared" si="1"/>
        <v>82</v>
      </c>
      <c r="B84" t="e">
        <f ca="1"/>
        <v>#NAME?</v>
      </c>
    </row>
    <row r="85" spans="1:2" x14ac:dyDescent="0.25">
      <c r="A85">
        <f t="shared" si="1"/>
        <v>83</v>
      </c>
      <c r="B85" t="e">
        <f ca="1"/>
        <v>#NAME?</v>
      </c>
    </row>
    <row r="86" spans="1:2" x14ac:dyDescent="0.25">
      <c r="A86">
        <f t="shared" si="1"/>
        <v>84</v>
      </c>
      <c r="B86" t="e">
        <f ca="1"/>
        <v>#NAME?</v>
      </c>
    </row>
    <row r="87" spans="1:2" x14ac:dyDescent="0.25">
      <c r="A87">
        <f t="shared" si="1"/>
        <v>85</v>
      </c>
      <c r="B87" t="e">
        <f ca="1"/>
        <v>#NAME?</v>
      </c>
    </row>
    <row r="88" spans="1:2" x14ac:dyDescent="0.25">
      <c r="A88">
        <f t="shared" si="1"/>
        <v>86</v>
      </c>
      <c r="B88" t="e">
        <f ca="1"/>
        <v>#NAME?</v>
      </c>
    </row>
    <row r="89" spans="1:2" x14ac:dyDescent="0.25">
      <c r="A89">
        <f t="shared" si="1"/>
        <v>87</v>
      </c>
      <c r="B89" t="e">
        <f ca="1"/>
        <v>#NAME?</v>
      </c>
    </row>
    <row r="90" spans="1:2" x14ac:dyDescent="0.25">
      <c r="A90">
        <f t="shared" si="1"/>
        <v>88</v>
      </c>
      <c r="B90" t="e">
        <f ca="1"/>
        <v>#NAME?</v>
      </c>
    </row>
    <row r="91" spans="1:2" x14ac:dyDescent="0.25">
      <c r="A91">
        <f t="shared" si="1"/>
        <v>89</v>
      </c>
      <c r="B91" t="e">
        <f ca="1"/>
        <v>#NAME?</v>
      </c>
    </row>
    <row r="92" spans="1:2" x14ac:dyDescent="0.25">
      <c r="A92">
        <f t="shared" si="1"/>
        <v>90</v>
      </c>
      <c r="B92" t="e">
        <f ca="1"/>
        <v>#NAME?</v>
      </c>
    </row>
    <row r="93" spans="1:2" x14ac:dyDescent="0.25">
      <c r="A93">
        <f t="shared" si="1"/>
        <v>91</v>
      </c>
      <c r="B93" t="e">
        <f ca="1"/>
        <v>#NAME?</v>
      </c>
    </row>
    <row r="94" spans="1:2" x14ac:dyDescent="0.25">
      <c r="A94">
        <f t="shared" si="1"/>
        <v>92</v>
      </c>
      <c r="B94" t="e">
        <f ca="1"/>
        <v>#NAME?</v>
      </c>
    </row>
    <row r="95" spans="1:2" x14ac:dyDescent="0.25">
      <c r="A95">
        <f t="shared" si="1"/>
        <v>93</v>
      </c>
      <c r="B95" t="e">
        <f ca="1"/>
        <v>#NAME?</v>
      </c>
    </row>
    <row r="96" spans="1:2" x14ac:dyDescent="0.25">
      <c r="A96">
        <f t="shared" si="1"/>
        <v>94</v>
      </c>
      <c r="B96" t="e">
        <f ca="1"/>
        <v>#NAME?</v>
      </c>
    </row>
    <row r="97" spans="1:2" x14ac:dyDescent="0.25">
      <c r="A97">
        <f t="shared" si="1"/>
        <v>95</v>
      </c>
      <c r="B97" t="e">
        <f ca="1"/>
        <v>#NAME?</v>
      </c>
    </row>
    <row r="98" spans="1:2" x14ac:dyDescent="0.25">
      <c r="A98">
        <f t="shared" si="1"/>
        <v>96</v>
      </c>
      <c r="B98" t="e">
        <f ca="1"/>
        <v>#NAME?</v>
      </c>
    </row>
    <row r="99" spans="1:2" x14ac:dyDescent="0.25">
      <c r="A99">
        <f t="shared" si="1"/>
        <v>97</v>
      </c>
      <c r="B99" t="e">
        <f ca="1"/>
        <v>#NAME?</v>
      </c>
    </row>
    <row r="100" spans="1:2" x14ac:dyDescent="0.25">
      <c r="A100">
        <f t="shared" si="1"/>
        <v>98</v>
      </c>
      <c r="B100" t="e">
        <f ca="1"/>
        <v>#NAME?</v>
      </c>
    </row>
    <row r="101" spans="1:2" x14ac:dyDescent="0.25">
      <c r="A101">
        <f t="shared" si="1"/>
        <v>99</v>
      </c>
      <c r="B101" t="e">
        <f ca="1"/>
        <v>#NAME?</v>
      </c>
    </row>
    <row r="102" spans="1:2" x14ac:dyDescent="0.25">
      <c r="A102">
        <f t="shared" si="1"/>
        <v>100</v>
      </c>
      <c r="B102" t="e">
        <f ca="1"/>
        <v>#NAME?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G15"/>
  <sheetViews>
    <sheetView workbookViewId="0"/>
  </sheetViews>
  <sheetFormatPr defaultRowHeight="15" x14ac:dyDescent="0.25"/>
  <cols>
    <col min="2" max="2" width="3" customWidth="1"/>
    <col min="3" max="3" width="17.7109375" customWidth="1"/>
    <col min="6" max="6" width="3.85546875" customWidth="1"/>
    <col min="7" max="7" width="24.85546875" customWidth="1"/>
  </cols>
  <sheetData>
    <row r="1" spans="1:7" x14ac:dyDescent="0.25">
      <c r="A1" s="1" t="s">
        <v>836</v>
      </c>
    </row>
    <row r="3" spans="1:7" x14ac:dyDescent="0.25">
      <c r="A3" s="22" t="s">
        <v>837</v>
      </c>
      <c r="E3" s="22" t="s">
        <v>838</v>
      </c>
    </row>
    <row r="4" spans="1:7" x14ac:dyDescent="0.25">
      <c r="A4">
        <f>BIN2DEC(A3)</f>
        <v>45</v>
      </c>
      <c r="C4" t="e">
        <f ca="1">FTEXT(A4)</f>
        <v>#NAME?</v>
      </c>
      <c r="E4" s="22" t="s">
        <v>839</v>
      </c>
    </row>
    <row r="5" spans="1:7" x14ac:dyDescent="0.25">
      <c r="A5" t="str">
        <f>DEC2BIN(A4)</f>
        <v>101101</v>
      </c>
      <c r="C5" t="e">
        <f ca="1">FTEXT(A5)</f>
        <v>#NAME?</v>
      </c>
      <c r="E5">
        <f>BIN2DEC(E3)</f>
        <v>12</v>
      </c>
      <c r="G5" t="e">
        <f ca="1">FTEXT(E5)</f>
        <v>#NAME?</v>
      </c>
    </row>
    <row r="6" spans="1:7" x14ac:dyDescent="0.25">
      <c r="E6">
        <f>BIN2DEC(E4)</f>
        <v>21</v>
      </c>
      <c r="G6" t="e">
        <f ca="1">FTEXT(E6)</f>
        <v>#NAME?</v>
      </c>
    </row>
    <row r="7" spans="1:7" x14ac:dyDescent="0.25">
      <c r="A7">
        <f>_xlfn.BITLSHIFT(A4,1)</f>
        <v>90</v>
      </c>
      <c r="C7" t="e">
        <f ca="1">FTEXT(A7)</f>
        <v>#NAME?</v>
      </c>
    </row>
    <row r="8" spans="1:7" x14ac:dyDescent="0.25">
      <c r="A8" t="str">
        <f>DEC2BIN(A7)</f>
        <v>1011010</v>
      </c>
      <c r="C8" t="e">
        <f ca="1">FTEXT(A8)</f>
        <v>#NAME?</v>
      </c>
      <c r="E8" t="str">
        <f>DEC2BIN(_xlfn.BITOR(E5,E6))</f>
        <v>11101</v>
      </c>
      <c r="G8" t="e">
        <f ca="1">FTEXT(E8)</f>
        <v>#NAME?</v>
      </c>
    </row>
    <row r="9" spans="1:7" x14ac:dyDescent="0.25">
      <c r="A9">
        <f>_xlfn.BITRSHIFT(A4,1)</f>
        <v>22</v>
      </c>
      <c r="C9" t="e">
        <f ca="1">FTEXT(A9)</f>
        <v>#NAME?</v>
      </c>
      <c r="E9" t="str">
        <f>DEC2BIN(_xlfn.BITXOR(E5,E6))</f>
        <v>11001</v>
      </c>
      <c r="G9" t="e">
        <f ca="1">FTEXT(E9)</f>
        <v>#NAME?</v>
      </c>
    </row>
    <row r="10" spans="1:7" x14ac:dyDescent="0.25">
      <c r="A10" t="str">
        <f>DEC2BIN(A9)</f>
        <v>10110</v>
      </c>
      <c r="C10" t="e">
        <f ca="1">FTEXT(A10)</f>
        <v>#NAME?</v>
      </c>
      <c r="E10" t="str">
        <f>DEC2BIN(_xlfn.BITAND(E5,E6))</f>
        <v>100</v>
      </c>
      <c r="G10" t="e">
        <f ca="1">FTEXT(E10)</f>
        <v>#NAME?</v>
      </c>
    </row>
    <row r="12" spans="1:7" x14ac:dyDescent="0.25">
      <c r="A12" t="e">
        <f ca="1">BIT_LSHIFT(A4,1)</f>
        <v>#NAME?</v>
      </c>
      <c r="C12" t="e">
        <f ca="1">FTEXT(A12)</f>
        <v>#NAME?</v>
      </c>
      <c r="E12" t="e">
        <f ca="1">DEC2BIN(BIT_OR(E5,E6))</f>
        <v>#NAME?</v>
      </c>
      <c r="G12" t="e">
        <f ca="1">FTEXT(E12)</f>
        <v>#NAME?</v>
      </c>
    </row>
    <row r="13" spans="1:7" x14ac:dyDescent="0.25">
      <c r="A13" t="str">
        <f>DEC2BIN(A7)</f>
        <v>1011010</v>
      </c>
      <c r="C13" t="e">
        <f ca="1">FTEXT(A13)</f>
        <v>#NAME?</v>
      </c>
      <c r="E13" t="e">
        <f ca="1">DEC2BIN(BIT_XOR(E5,E6))</f>
        <v>#NAME?</v>
      </c>
      <c r="G13" t="e">
        <f ca="1">FTEXT(E13)</f>
        <v>#NAME?</v>
      </c>
    </row>
    <row r="14" spans="1:7" x14ac:dyDescent="0.25">
      <c r="A14" t="e">
        <f ca="1">BIT_RSHIFT(A4,1)</f>
        <v>#NAME?</v>
      </c>
      <c r="C14" t="e">
        <f ca="1">FTEXT(A14)</f>
        <v>#NAME?</v>
      </c>
      <c r="E14" t="e">
        <f ca="1">DEC2BIN(BIT_AND(E5,E6))</f>
        <v>#NAME?</v>
      </c>
      <c r="G14" t="e">
        <f ca="1">FTEXT(E14)</f>
        <v>#NAME?</v>
      </c>
    </row>
    <row r="15" spans="1:7" x14ac:dyDescent="0.25">
      <c r="A15" t="str">
        <f>DEC2BIN(A9)</f>
        <v>10110</v>
      </c>
      <c r="C15" t="e">
        <f ca="1">FTEXT(A15)</f>
        <v>#NAME?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10"/>
  <sheetViews>
    <sheetView workbookViewId="0">
      <selection activeCell="G17" sqref="G17"/>
    </sheetView>
  </sheetViews>
  <sheetFormatPr defaultRowHeight="15" x14ac:dyDescent="0.25"/>
  <cols>
    <col min="1" max="1" width="11.140625" customWidth="1"/>
    <col min="2" max="2" width="7.28515625" customWidth="1"/>
    <col min="4" max="4" width="4.140625" customWidth="1"/>
    <col min="5" max="5" width="29.140625" customWidth="1"/>
    <col min="6" max="6" width="3.7109375" customWidth="1"/>
    <col min="8" max="8" width="3.7109375" customWidth="1"/>
    <col min="9" max="9" width="23" customWidth="1"/>
  </cols>
  <sheetData>
    <row r="1" spans="1:9" x14ac:dyDescent="0.25">
      <c r="A1" s="1" t="s">
        <v>797</v>
      </c>
    </row>
    <row r="3" spans="1:9" x14ac:dyDescent="0.25">
      <c r="A3" t="s">
        <v>798</v>
      </c>
    </row>
    <row r="5" spans="1:9" x14ac:dyDescent="0.25">
      <c r="A5" t="s">
        <v>105</v>
      </c>
      <c r="B5">
        <v>20</v>
      </c>
    </row>
    <row r="6" spans="1:9" x14ac:dyDescent="0.25">
      <c r="A6" s="300" t="s">
        <v>671</v>
      </c>
      <c r="B6">
        <v>0.02</v>
      </c>
      <c r="C6" s="343" t="e">
        <f ca="1">RhoCRIT(B$5,B6)</f>
        <v>#NAME?</v>
      </c>
      <c r="D6" s="8"/>
      <c r="E6" s="8" t="e">
        <f ca="1">FTEXT(C6)</f>
        <v>#NAME?</v>
      </c>
      <c r="F6" s="8"/>
    </row>
    <row r="7" spans="1:9" x14ac:dyDescent="0.25">
      <c r="A7" s="300" t="s">
        <v>671</v>
      </c>
      <c r="B7">
        <v>0.05</v>
      </c>
      <c r="C7" s="91" t="e">
        <f ca="1">RhoCRIT(B$5,B7)</f>
        <v>#NAME?</v>
      </c>
      <c r="D7" s="8"/>
      <c r="E7" s="8" t="e">
        <f ca="1">FTEXT(C7)</f>
        <v>#NAME?</v>
      </c>
      <c r="F7" s="8"/>
    </row>
    <row r="8" spans="1:9" x14ac:dyDescent="0.25">
      <c r="A8" s="300" t="s">
        <v>799</v>
      </c>
      <c r="B8">
        <v>2.5000000000000001E-2</v>
      </c>
      <c r="C8" s="91" t="e">
        <f ca="1">Interpolate(B8,B6,B7,C6,C7,0)</f>
        <v>#NAME?</v>
      </c>
      <c r="D8" s="8"/>
      <c r="E8" s="8" t="e">
        <f ca="1">FTEXT(C8)</f>
        <v>#NAME?</v>
      </c>
      <c r="F8" s="8"/>
      <c r="G8" t="e">
        <f ca="1">RhoCRIT(B5,B8,2,FALSE)</f>
        <v>#NAME?</v>
      </c>
      <c r="I8" t="e">
        <f ca="1">FTEXT(G8)</f>
        <v>#NAME?</v>
      </c>
    </row>
    <row r="9" spans="1:9" x14ac:dyDescent="0.25">
      <c r="A9" s="300" t="s">
        <v>800</v>
      </c>
      <c r="B9">
        <v>2.5000000000000001E-2</v>
      </c>
      <c r="C9" s="91" t="e">
        <f ca="1">Interpolate(B8,B6,B7,C6,C7,1)</f>
        <v>#NAME?</v>
      </c>
      <c r="D9" s="8"/>
      <c r="E9" s="8" t="e">
        <f ca="1">FTEXT(C9)</f>
        <v>#NAME?</v>
      </c>
      <c r="F9" s="8"/>
      <c r="G9" t="e">
        <f ca="1">RhoCRIT(B5,B9)</f>
        <v>#NAME?</v>
      </c>
      <c r="I9" t="e">
        <f ca="1">FTEXT(G9)</f>
        <v>#NAME?</v>
      </c>
    </row>
    <row r="10" spans="1:9" x14ac:dyDescent="0.25">
      <c r="A10" s="300" t="s">
        <v>801</v>
      </c>
      <c r="B10">
        <v>2.5000000000000001E-2</v>
      </c>
      <c r="C10" s="85" t="e">
        <f ca="1">Interpolate(B8,B6,B7,C6,C7,2)</f>
        <v>#NAME?</v>
      </c>
      <c r="D10" s="8"/>
      <c r="E10" s="8" t="e">
        <f ca="1">FTEXT(C10)</f>
        <v>#NAME?</v>
      </c>
      <c r="F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TOC0</vt:lpstr>
      <vt:lpstr>TOC</vt:lpstr>
      <vt:lpstr>Bar Chart</vt:lpstr>
      <vt:lpstr>Line Chart</vt:lpstr>
      <vt:lpstr>Line Chart 2</vt:lpstr>
      <vt:lpstr>Scatter Chart</vt:lpstr>
      <vt:lpstr>Step Chart</vt:lpstr>
      <vt:lpstr>Array Formula</vt:lpstr>
      <vt:lpstr>Array Function</vt:lpstr>
      <vt:lpstr>Sort Filter</vt:lpstr>
      <vt:lpstr>Seek</vt:lpstr>
      <vt:lpstr>Reformat 1</vt:lpstr>
      <vt:lpstr>Reformat 2</vt:lpstr>
      <vt:lpstr>Sort Rows</vt:lpstr>
      <vt:lpstr>Extract</vt:lpstr>
      <vt:lpstr>Select Col</vt:lpstr>
      <vt:lpstr>Misc</vt:lpstr>
      <vt:lpstr>Step Chart 1</vt:lpstr>
      <vt:lpstr>Prob 0</vt:lpstr>
      <vt:lpstr>Prob 1</vt:lpstr>
      <vt:lpstr>Prob 2</vt:lpstr>
      <vt:lpstr>Central</vt:lpstr>
      <vt:lpstr>Geo Mean</vt:lpstr>
      <vt:lpstr>Var</vt:lpstr>
      <vt:lpstr>Combined</vt:lpstr>
      <vt:lpstr>Combined 2</vt:lpstr>
      <vt:lpstr>SKEW</vt:lpstr>
      <vt:lpstr>Rank 0</vt:lpstr>
      <vt:lpstr>Rank 1</vt:lpstr>
      <vt:lpstr>Rank 2</vt:lpstr>
      <vt:lpstr>Desc 1</vt:lpstr>
      <vt:lpstr>Desc 2</vt:lpstr>
      <vt:lpstr>Freq</vt:lpstr>
      <vt:lpstr>Freq 2</vt:lpstr>
      <vt:lpstr>Histogram</vt:lpstr>
      <vt:lpstr>Box Plot 1</vt:lpstr>
      <vt:lpstr>Box Plot 2</vt:lpstr>
      <vt:lpstr>Box Plot 3</vt:lpstr>
      <vt:lpstr>Box Plot 4</vt:lpstr>
      <vt:lpstr>Box Plot 5</vt:lpstr>
      <vt:lpstr>Box Plot 6</vt:lpstr>
      <vt:lpstr>Dot 1</vt:lpstr>
      <vt:lpstr>Dot 2</vt:lpstr>
      <vt:lpstr>ROC</vt:lpstr>
      <vt:lpstr>ROC 1</vt:lpstr>
      <vt:lpstr>AUC</vt:lpstr>
      <vt:lpstr>Winsor</vt:lpstr>
      <vt:lpstr>Missing</vt:lpstr>
      <vt:lpstr>Diversity 1</vt:lpstr>
      <vt:lpstr>Diversity 2</vt:lpstr>
      <vt:lpstr>Diversity 3</vt:lpstr>
      <vt:lpstr>Power</vt:lpstr>
      <vt:lpstr>Multiple tests</vt:lpstr>
      <vt:lpstr>Graph</vt:lpstr>
      <vt:lpstr>Gamma</vt:lpstr>
      <vt:lpstr>SUMIF</vt:lpstr>
      <vt:lpstr>Match</vt:lpstr>
      <vt:lpstr>Conversion 1</vt:lpstr>
      <vt:lpstr>Conversion 2</vt:lpstr>
      <vt:lpstr>Cat Code</vt:lpstr>
      <vt:lpstr>Table Lookup</vt:lpstr>
      <vt:lpstr>Sampling</vt:lpstr>
      <vt:lpstr>Chart s.e.</vt:lpstr>
      <vt:lpstr>Length</vt:lpstr>
      <vt:lpstr>Inverse</vt:lpstr>
      <vt:lpstr>Mat Power</vt:lpstr>
      <vt:lpstr>Diag</vt:lpstr>
      <vt:lpstr>Det 1</vt:lpstr>
      <vt:lpstr>Det 2</vt:lpstr>
      <vt:lpstr>Cramer Rule</vt:lpstr>
      <vt:lpstr>Gauss Elim 1</vt:lpstr>
      <vt:lpstr>Gauss Elim 2</vt:lpstr>
      <vt:lpstr>Newton</vt:lpstr>
      <vt:lpstr>Goal Seek</vt:lpstr>
      <vt:lpstr>Color 1</vt:lpstr>
      <vt:lpstr>Color 2</vt:lpstr>
      <vt:lpstr>Prime</vt:lpstr>
      <vt:lpstr>Bitwise</vt:lpstr>
      <vt:lpstr>Interp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Charles Zaiontz</cp:lastModifiedBy>
  <cp:lastPrinted>2017-06-13T15:59:52Z</cp:lastPrinted>
  <dcterms:created xsi:type="dcterms:W3CDTF">2011-12-03T11:22:59Z</dcterms:created>
  <dcterms:modified xsi:type="dcterms:W3CDTF">2019-01-18T17:15:12Z</dcterms:modified>
</cp:coreProperties>
</file>